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000" windowHeight="9735" tabRatio="802"/>
  </bookViews>
  <sheets>
    <sheet name="1. Coleta Orgânica" sheetId="2" r:id="rId1"/>
    <sheet name="2. Coleta Seletiva " sheetId="39" r:id="rId2"/>
    <sheet name="3. Transbordo" sheetId="48" r:id="rId3"/>
    <sheet name="4. Transporte " sheetId="43" r:id="rId4"/>
    <sheet name="5. Destino Final" sheetId="32" r:id="rId5"/>
    <sheet name="6. Contentores" sheetId="45" r:id="rId6"/>
    <sheet name="6. Resumo" sheetId="19" r:id="rId7"/>
    <sheet name="7.Enc Sociais" sheetId="8" r:id="rId8"/>
    <sheet name="8.CAGED" sheetId="5" r:id="rId9"/>
    <sheet name="9.BDI" sheetId="4" r:id="rId10"/>
    <sheet name="9.1 BDI Aterro" sheetId="42" r:id="rId11"/>
    <sheet name="10. Ton" sheetId="47" r:id="rId12"/>
    <sheet name="11. Horários" sheetId="11" r:id="rId13"/>
    <sheet name="12. Roteiros" sheetId="37" r:id="rId14"/>
    <sheet name="13. Depr" sheetId="6" r:id="rId15"/>
    <sheet name="14. Rem capital" sheetId="7" r:id="rId16"/>
    <sheet name="15. Dimens" sheetId="9" r:id="rId17"/>
  </sheets>
  <externalReferences>
    <externalReference r:id="rId18"/>
    <externalReference r:id="rId19"/>
  </externalReferences>
  <definedNames>
    <definedName name="_LO25" localSheetId="2">#REF!</definedName>
    <definedName name="_LO25">#REF!</definedName>
    <definedName name="AbaDeprec" localSheetId="11">#REF!</definedName>
    <definedName name="AbaDeprec">'13. Depr'!$A$1</definedName>
    <definedName name="AbaRemun" localSheetId="11">#REF!</definedName>
    <definedName name="AbaRemun" localSheetId="12">#REF!</definedName>
    <definedName name="AbaRemun" localSheetId="3">#REF!</definedName>
    <definedName name="AbaRemun" localSheetId="4">#REF!</definedName>
    <definedName name="AbaRemun" localSheetId="6">#REF!</definedName>
    <definedName name="AbaRemun">'14. Rem capital'!$A$1</definedName>
    <definedName name="_xlnm.Print_Area" localSheetId="0">'1. Coleta Orgânica'!$A$1:$F$326</definedName>
    <definedName name="_xlnm.Print_Area" localSheetId="13">'12. Roteiros'!$A$1:$P$70</definedName>
    <definedName name="_xlnm.Print_Area" localSheetId="1">'2. Coleta Seletiva '!$A$1:$F$326</definedName>
    <definedName name="_xlnm.Print_Area" localSheetId="2">'3. Transbordo'!$A$1:$F$111</definedName>
    <definedName name="_xlnm.Print_Area" localSheetId="3">'4. Transporte '!$A$1:$F$256</definedName>
    <definedName name="_xlnm.Print_Area" localSheetId="4">'5. Destino Final'!$A$1:$F$39</definedName>
    <definedName name="_xlnm.Print_Area" localSheetId="5">'6. Contentores'!$A$1:$F$76</definedName>
    <definedName name="_xlnm.Print_Area" localSheetId="7">'7.Enc Sociais'!$A$1:$C$40</definedName>
    <definedName name="Horário" localSheetId="1">#REF!</definedName>
    <definedName name="Horário" localSheetId="2">#REF!</definedName>
    <definedName name="Horário" localSheetId="5">#REF!</definedName>
    <definedName name="Horário" localSheetId="10">#REF!</definedName>
    <definedName name="Horário">#REF!</definedName>
    <definedName name="_xlnm.Print_Titles" localSheetId="0">'1. Coleta Orgânica'!$1:$8</definedName>
    <definedName name="_xlnm.Print_Titles" localSheetId="1">'2. Coleta Seletiva '!$1:$8</definedName>
    <definedName name="_xlnm.Print_Titles" localSheetId="2">'3. Transbordo'!$10:$13</definedName>
    <definedName name="_xlnm.Print_Titles" localSheetId="3">'4. Transporte '!#REF!</definedName>
    <definedName name="_xlnm.Print_Titles" localSheetId="4">'5. Destino Final'!#REF!</definedName>
    <definedName name="_xlnm.Print_Titles" localSheetId="5">'6. Contentores'!$1:$7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5" i="39" l="1"/>
  <c r="C185" i="2"/>
  <c r="E186" i="39"/>
  <c r="D217" i="2" l="1"/>
  <c r="F226" i="2"/>
  <c r="C15" i="9"/>
  <c r="I8" i="11" l="1"/>
  <c r="I7" i="11"/>
  <c r="I6" i="11"/>
  <c r="I5" i="11"/>
  <c r="E103" i="39" l="1"/>
  <c r="E125" i="2"/>
  <c r="E103" i="2"/>
  <c r="I14" i="11" l="1"/>
  <c r="I13" i="11"/>
  <c r="I12" i="11"/>
  <c r="I11" i="11"/>
  <c r="I19" i="11"/>
  <c r="I16" i="11"/>
  <c r="I15" i="11"/>
  <c r="I10" i="11"/>
  <c r="I9" i="11"/>
  <c r="O34" i="37" l="1"/>
  <c r="O17" i="37"/>
  <c r="D70" i="37"/>
  <c r="H35" i="37" s="1"/>
  <c r="H38" i="37" s="1"/>
  <c r="O15" i="37" s="1"/>
  <c r="B32" i="48"/>
  <c r="O32" i="37" l="1"/>
  <c r="E146" i="2"/>
  <c r="E186" i="2" l="1"/>
  <c r="C131" i="2"/>
  <c r="E94" i="48"/>
  <c r="D64" i="48"/>
  <c r="E64" i="48" s="1"/>
  <c r="E88" i="48"/>
  <c r="E95" i="48"/>
  <c r="E86" i="48"/>
  <c r="A86" i="48"/>
  <c r="E85" i="48"/>
  <c r="E84" i="48"/>
  <c r="E83" i="48"/>
  <c r="D82" i="48"/>
  <c r="E82" i="48" s="1"/>
  <c r="D81" i="48"/>
  <c r="E81" i="48" s="1"/>
  <c r="D80" i="48"/>
  <c r="E80" i="48" s="1"/>
  <c r="D79" i="48"/>
  <c r="E79" i="48" s="1"/>
  <c r="E70" i="48"/>
  <c r="D65" i="48"/>
  <c r="E65" i="48" s="1"/>
  <c r="A64" i="48"/>
  <c r="C47" i="48"/>
  <c r="E47" i="48" s="1"/>
  <c r="C42" i="48"/>
  <c r="E37" i="48"/>
  <c r="D38" i="48" s="1"/>
  <c r="E38" i="48" s="1"/>
  <c r="E39" i="48" s="1"/>
  <c r="F30" i="48"/>
  <c r="A28" i="48"/>
  <c r="A23" i="48"/>
  <c r="A22" i="48"/>
  <c r="A21" i="48"/>
  <c r="A20" i="48"/>
  <c r="A19" i="48"/>
  <c r="A18" i="48"/>
  <c r="A17" i="48"/>
  <c r="A16" i="48"/>
  <c r="A15" i="48"/>
  <c r="F96" i="48" l="1"/>
  <c r="F98" i="48" s="1"/>
  <c r="E22" i="48" s="1"/>
  <c r="D87" i="48"/>
  <c r="E87" i="48" s="1"/>
  <c r="F88" i="48" s="1"/>
  <c r="F90" i="48" s="1"/>
  <c r="D48" i="48"/>
  <c r="E48" i="48" s="1"/>
  <c r="E49" i="48" s="1"/>
  <c r="D40" i="48"/>
  <c r="E43" i="48"/>
  <c r="E66" i="48"/>
  <c r="F66" i="48" s="1"/>
  <c r="E19" i="48" s="1"/>
  <c r="E53" i="48"/>
  <c r="E72" i="48" s="1"/>
  <c r="F72" i="48" s="1"/>
  <c r="E20" i="48" s="1"/>
  <c r="E21" i="48" l="1"/>
  <c r="E59" i="48"/>
  <c r="F60" i="48" s="1"/>
  <c r="E18" i="48" s="1"/>
  <c r="D50" i="48"/>
  <c r="D120" i="2" l="1"/>
  <c r="C132" i="39"/>
  <c r="C150" i="39"/>
  <c r="C150" i="2"/>
  <c r="C132" i="2"/>
  <c r="J7" i="19" l="1"/>
  <c r="J4" i="19"/>
  <c r="A182" i="2"/>
  <c r="C20" i="47"/>
  <c r="C22" i="47" s="1"/>
  <c r="C24" i="47" s="1"/>
  <c r="F12" i="19" l="1"/>
  <c r="C25" i="47"/>
  <c r="C20" i="32" s="1"/>
  <c r="J9" i="19"/>
  <c r="I11" i="19"/>
  <c r="D110" i="43"/>
  <c r="D145" i="39"/>
  <c r="D104" i="43"/>
  <c r="D232" i="39"/>
  <c r="D139" i="39"/>
  <c r="D137" i="39"/>
  <c r="D139" i="2"/>
  <c r="D137" i="2"/>
  <c r="J11" i="19" l="1"/>
  <c r="O42" i="37"/>
  <c r="O46" i="37" s="1"/>
  <c r="B191" i="43" s="1"/>
  <c r="D59" i="37"/>
  <c r="H28" i="37" s="1"/>
  <c r="H31" i="37" s="1"/>
  <c r="D45" i="37"/>
  <c r="D30" i="37"/>
  <c r="H14" i="37" s="1"/>
  <c r="H17" i="37" s="1"/>
  <c r="D16" i="37"/>
  <c r="H21" i="37" l="1"/>
  <c r="H24" i="37" s="1"/>
  <c r="H7" i="37"/>
  <c r="H10" i="37" s="1"/>
  <c r="O24" i="37" s="1"/>
  <c r="O28" i="37"/>
  <c r="O11" i="37"/>
  <c r="O13" i="37"/>
  <c r="O30" i="37"/>
  <c r="O26" i="37"/>
  <c r="O9" i="37"/>
  <c r="O35" i="37" l="1"/>
  <c r="O7" i="37"/>
  <c r="O18" i="37" l="1"/>
  <c r="B238" i="39"/>
  <c r="C52" i="45"/>
  <c r="E53" i="45"/>
  <c r="D54" i="45" s="1"/>
  <c r="E54" i="45" s="1"/>
  <c r="E51" i="45"/>
  <c r="D52" i="45" s="1"/>
  <c r="E47" i="45"/>
  <c r="D41" i="45"/>
  <c r="C44" i="45" s="1"/>
  <c r="D45" i="45" s="1"/>
  <c r="E45" i="45" s="1"/>
  <c r="D46" i="45" s="1"/>
  <c r="E37" i="45"/>
  <c r="C35" i="45"/>
  <c r="E31" i="45"/>
  <c r="C43" i="45" s="1"/>
  <c r="E23" i="45"/>
  <c r="A22" i="45"/>
  <c r="A17" i="45"/>
  <c r="A16" i="45"/>
  <c r="A15" i="45"/>
  <c r="A14" i="45"/>
  <c r="A13" i="45"/>
  <c r="B238" i="2" l="1"/>
  <c r="E52" i="45"/>
  <c r="F55" i="45" s="1"/>
  <c r="E16" i="45" s="1"/>
  <c r="D34" i="45"/>
  <c r="E34" i="45" s="1"/>
  <c r="D35" i="45" s="1"/>
  <c r="E35" i="45" s="1"/>
  <c r="D36" i="45" s="1"/>
  <c r="C46" i="45"/>
  <c r="E41" i="45"/>
  <c r="E36" i="45" l="1"/>
  <c r="F37" i="45" s="1"/>
  <c r="E46" i="45"/>
  <c r="F47" i="45" s="1"/>
  <c r="E15" i="45" s="1"/>
  <c r="F57" i="45" l="1"/>
  <c r="E14" i="45"/>
  <c r="D62" i="45" l="1"/>
  <c r="E13" i="45"/>
  <c r="D194" i="43" l="1"/>
  <c r="C104" i="43" l="1"/>
  <c r="G73" i="11"/>
  <c r="G76" i="11" s="1"/>
  <c r="G78" i="11" s="1"/>
  <c r="G80" i="11" s="1"/>
  <c r="B46" i="43" s="1"/>
  <c r="E105" i="43" s="1"/>
  <c r="C158" i="43" l="1"/>
  <c r="C153" i="43"/>
  <c r="C235" i="43"/>
  <c r="E235" i="43" s="1"/>
  <c r="D236" i="43" s="1"/>
  <c r="E236" i="43" s="1"/>
  <c r="E227" i="43"/>
  <c r="F228" i="43" s="1"/>
  <c r="F230" i="43" s="1"/>
  <c r="E28" i="43" s="1"/>
  <c r="C216" i="43"/>
  <c r="E216" i="43" s="1"/>
  <c r="E214" i="43"/>
  <c r="D203" i="43"/>
  <c r="D201" i="43"/>
  <c r="D199" i="43"/>
  <c r="D197" i="43"/>
  <c r="D195" i="43"/>
  <c r="C185" i="43"/>
  <c r="E185" i="43" s="1"/>
  <c r="C184" i="43"/>
  <c r="E184" i="43" s="1"/>
  <c r="C183" i="43"/>
  <c r="C178" i="43"/>
  <c r="C172" i="43"/>
  <c r="D171" i="43"/>
  <c r="D166" i="43"/>
  <c r="E166" i="43" s="1"/>
  <c r="C159" i="43"/>
  <c r="C155" i="43"/>
  <c r="C171" i="43" s="1"/>
  <c r="C154" i="43"/>
  <c r="E150" i="43"/>
  <c r="E138" i="43"/>
  <c r="E137" i="43"/>
  <c r="E136" i="43"/>
  <c r="E135" i="43"/>
  <c r="E134" i="43"/>
  <c r="E133" i="43"/>
  <c r="E126" i="43"/>
  <c r="E125" i="43"/>
  <c r="E124" i="43"/>
  <c r="E123" i="43"/>
  <c r="E122" i="43"/>
  <c r="E121" i="43"/>
  <c r="E120" i="43"/>
  <c r="E104" i="43"/>
  <c r="F105" i="43" s="1"/>
  <c r="A104" i="43"/>
  <c r="A110" i="43" s="1"/>
  <c r="E103" i="43"/>
  <c r="A103" i="43"/>
  <c r="A109" i="43" s="1"/>
  <c r="E97" i="43"/>
  <c r="E91" i="43"/>
  <c r="D86" i="43"/>
  <c r="E86" i="43" s="1"/>
  <c r="E87" i="43" s="1"/>
  <c r="E73" i="43"/>
  <c r="D68" i="43"/>
  <c r="D66" i="43"/>
  <c r="C66" i="43"/>
  <c r="D64" i="43"/>
  <c r="C64" i="43"/>
  <c r="C63" i="43"/>
  <c r="D56" i="43"/>
  <c r="D54" i="43"/>
  <c r="C54" i="43"/>
  <c r="D52" i="43"/>
  <c r="D51" i="43"/>
  <c r="D61" i="43" s="1"/>
  <c r="D63" i="43" s="1"/>
  <c r="E43" i="43"/>
  <c r="A43" i="43"/>
  <c r="E39" i="43"/>
  <c r="A39" i="43"/>
  <c r="E38" i="43"/>
  <c r="A38" i="43"/>
  <c r="E37" i="43"/>
  <c r="A37" i="43"/>
  <c r="E36" i="43"/>
  <c r="C109" i="43" s="1"/>
  <c r="E109" i="43" s="1"/>
  <c r="A36" i="43"/>
  <c r="A30" i="43"/>
  <c r="A29" i="43"/>
  <c r="A28" i="43"/>
  <c r="A27" i="43"/>
  <c r="A26" i="43"/>
  <c r="A25" i="43"/>
  <c r="A24" i="43"/>
  <c r="A23" i="43"/>
  <c r="A22" i="43"/>
  <c r="A21" i="43"/>
  <c r="A20" i="43"/>
  <c r="A19" i="43"/>
  <c r="A18" i="43"/>
  <c r="A17" i="43"/>
  <c r="A16" i="43"/>
  <c r="A15" i="43"/>
  <c r="A14" i="43"/>
  <c r="E13" i="43"/>
  <c r="A13" i="43"/>
  <c r="E12" i="43"/>
  <c r="A12" i="43"/>
  <c r="A11" i="43"/>
  <c r="D98" i="43" l="1"/>
  <c r="E98" i="43" s="1"/>
  <c r="F99" i="43" s="1"/>
  <c r="E16" i="43" s="1"/>
  <c r="D204" i="43"/>
  <c r="E171" i="43"/>
  <c r="E17" i="43"/>
  <c r="D127" i="43"/>
  <c r="E127" i="43" s="1"/>
  <c r="D217" i="43"/>
  <c r="E217" i="43" s="1"/>
  <c r="D218" i="43" s="1"/>
  <c r="C139" i="43"/>
  <c r="D139" i="43"/>
  <c r="C168" i="43"/>
  <c r="D183" i="43" s="1"/>
  <c r="E183" i="43" s="1"/>
  <c r="D186" i="43" s="1"/>
  <c r="E186" i="43" s="1"/>
  <c r="D88" i="43"/>
  <c r="E88" i="43" s="1"/>
  <c r="E89" i="43" s="1"/>
  <c r="D90" i="43" s="1"/>
  <c r="E90" i="43" s="1"/>
  <c r="F91" i="43" s="1"/>
  <c r="E15" i="43" s="1"/>
  <c r="C110" i="43"/>
  <c r="E110" i="43" s="1"/>
  <c r="C237" i="43"/>
  <c r="E237" i="43" s="1"/>
  <c r="D238" i="43" s="1"/>
  <c r="E238" i="43" s="1"/>
  <c r="E40" i="43"/>
  <c r="D76" i="43"/>
  <c r="E76" i="43" s="1"/>
  <c r="E77" i="43" s="1"/>
  <c r="D153" i="43"/>
  <c r="E153" i="43" s="1"/>
  <c r="E155" i="43"/>
  <c r="C173" i="43" s="1"/>
  <c r="E139" i="43" l="1"/>
  <c r="D78" i="43"/>
  <c r="D154" i="43"/>
  <c r="E154" i="43" s="1"/>
  <c r="C169" i="43"/>
  <c r="D158" i="43"/>
  <c r="E158" i="43" s="1"/>
  <c r="D159" i="43" s="1"/>
  <c r="E159" i="43" s="1"/>
  <c r="C174" i="43" l="1"/>
  <c r="D175" i="43" s="1"/>
  <c r="E175" i="43" s="1"/>
  <c r="D176" i="43" s="1"/>
  <c r="D170" i="43"/>
  <c r="E170" i="43" s="1"/>
  <c r="E160" i="43"/>
  <c r="D161" i="43" s="1"/>
  <c r="E161" i="43" s="1"/>
  <c r="E176" i="43" l="1"/>
  <c r="E177" i="43" s="1"/>
  <c r="D178" i="43" s="1"/>
  <c r="E178" i="43" s="1"/>
  <c r="C16" i="42"/>
  <c r="C21" i="42" s="1"/>
  <c r="C31" i="32" s="1"/>
  <c r="F14" i="42"/>
  <c r="E14" i="42"/>
  <c r="D14" i="42"/>
  <c r="D145" i="2" l="1"/>
  <c r="D138" i="2"/>
  <c r="D138" i="39"/>
  <c r="C195" i="43" l="1"/>
  <c r="C218" i="43"/>
  <c r="E218" i="43" s="1"/>
  <c r="F219" i="43" s="1"/>
  <c r="E27" i="43" s="1"/>
  <c r="C16" i="4"/>
  <c r="G37" i="11"/>
  <c r="G40" i="11" s="1"/>
  <c r="G42" i="11" s="1"/>
  <c r="G44" i="11" s="1"/>
  <c r="G49" i="11"/>
  <c r="G52" i="11" s="1"/>
  <c r="G54" i="11" s="1"/>
  <c r="G56" i="11" s="1"/>
  <c r="B54" i="39" s="1"/>
  <c r="G61" i="11"/>
  <c r="G64" i="11" s="1"/>
  <c r="G66" i="11" s="1"/>
  <c r="G68" i="11" s="1"/>
  <c r="C300" i="39"/>
  <c r="E300" i="39" s="1"/>
  <c r="D301" i="39" s="1"/>
  <c r="E301" i="39" s="1"/>
  <c r="E298" i="39"/>
  <c r="D299" i="39" s="1"/>
  <c r="E299" i="39" s="1"/>
  <c r="E292" i="39"/>
  <c r="E291" i="39"/>
  <c r="E290" i="39"/>
  <c r="E289" i="39"/>
  <c r="E288" i="39"/>
  <c r="E287" i="39"/>
  <c r="E286" i="39"/>
  <c r="E278" i="39"/>
  <c r="E277" i="39"/>
  <c r="E276" i="39"/>
  <c r="C265" i="39"/>
  <c r="E265" i="39" s="1"/>
  <c r="E263" i="39"/>
  <c r="D252" i="39"/>
  <c r="D250" i="39"/>
  <c r="D248" i="39"/>
  <c r="D246" i="39"/>
  <c r="D244" i="39"/>
  <c r="D242" i="39"/>
  <c r="C232" i="39"/>
  <c r="C231" i="39"/>
  <c r="E231" i="39" s="1"/>
  <c r="C230" i="39"/>
  <c r="C225" i="39"/>
  <c r="C219" i="39"/>
  <c r="D218" i="39"/>
  <c r="D213" i="39"/>
  <c r="E213" i="39" s="1"/>
  <c r="C205" i="39"/>
  <c r="C204" i="39"/>
  <c r="D206" i="39" s="1"/>
  <c r="C201" i="39"/>
  <c r="C218" i="39" s="1"/>
  <c r="C200" i="39"/>
  <c r="C199" i="39"/>
  <c r="E196" i="39"/>
  <c r="D184" i="39"/>
  <c r="C184" i="39"/>
  <c r="D183" i="39"/>
  <c r="C183" i="39"/>
  <c r="D182" i="39"/>
  <c r="C182" i="39"/>
  <c r="D181" i="39"/>
  <c r="C181" i="39"/>
  <c r="D180" i="39"/>
  <c r="C180" i="39"/>
  <c r="D179" i="39"/>
  <c r="C179" i="39"/>
  <c r="E172" i="39"/>
  <c r="E171" i="39"/>
  <c r="E170" i="39"/>
  <c r="E169" i="39"/>
  <c r="E168" i="39"/>
  <c r="E167" i="39"/>
  <c r="E166" i="39"/>
  <c r="E165" i="39"/>
  <c r="E164" i="39"/>
  <c r="E163" i="39"/>
  <c r="E162" i="39"/>
  <c r="E161" i="39"/>
  <c r="E150" i="39"/>
  <c r="A145" i="39"/>
  <c r="E139" i="39"/>
  <c r="A137" i="39"/>
  <c r="A144" i="39" s="1"/>
  <c r="C131" i="39"/>
  <c r="C120" i="39"/>
  <c r="D117" i="39"/>
  <c r="C117" i="39"/>
  <c r="D115" i="39"/>
  <c r="E115" i="39" s="1"/>
  <c r="D114" i="39"/>
  <c r="C114" i="39"/>
  <c r="D112" i="39"/>
  <c r="E112" i="39" s="1"/>
  <c r="D111" i="39"/>
  <c r="E111" i="39" s="1"/>
  <c r="C111" i="39"/>
  <c r="D120" i="39"/>
  <c r="E108" i="39"/>
  <c r="D95" i="39"/>
  <c r="E95" i="39" s="1"/>
  <c r="D94" i="39"/>
  <c r="E94" i="39" s="1"/>
  <c r="E92" i="39"/>
  <c r="D132" i="39" s="1"/>
  <c r="C83" i="39"/>
  <c r="C81" i="39"/>
  <c r="C78" i="39"/>
  <c r="C75" i="39"/>
  <c r="D73" i="39"/>
  <c r="D79" i="39" s="1"/>
  <c r="E79" i="39" s="1"/>
  <c r="D62" i="39"/>
  <c r="E62" i="39" s="1"/>
  <c r="D61" i="39"/>
  <c r="E61" i="39" s="1"/>
  <c r="E60" i="39"/>
  <c r="D131" i="39" s="1"/>
  <c r="E51" i="39"/>
  <c r="A51" i="39"/>
  <c r="E47" i="39"/>
  <c r="C138" i="39" s="1"/>
  <c r="A47" i="39"/>
  <c r="E46" i="39"/>
  <c r="A46" i="39"/>
  <c r="E45" i="39"/>
  <c r="A45" i="39"/>
  <c r="E44" i="39"/>
  <c r="A44" i="39"/>
  <c r="A38" i="39"/>
  <c r="A37" i="39"/>
  <c r="A36" i="39"/>
  <c r="A35" i="39"/>
  <c r="A34" i="39"/>
  <c r="A33" i="39"/>
  <c r="A32" i="39"/>
  <c r="A31" i="39"/>
  <c r="A30" i="39"/>
  <c r="A29" i="39"/>
  <c r="A28" i="39"/>
  <c r="A27" i="39"/>
  <c r="A26" i="39"/>
  <c r="A25" i="39"/>
  <c r="A24" i="39"/>
  <c r="A23" i="39"/>
  <c r="A22" i="39"/>
  <c r="A21" i="39"/>
  <c r="A20" i="39"/>
  <c r="A19" i="39"/>
  <c r="A18" i="39"/>
  <c r="A17" i="39"/>
  <c r="O11" i="11"/>
  <c r="K11" i="11"/>
  <c r="K12" i="11" s="1"/>
  <c r="O5" i="11"/>
  <c r="K5" i="11"/>
  <c r="E125" i="39" l="1"/>
  <c r="E218" i="39"/>
  <c r="C203" i="43"/>
  <c r="E203" i="43" s="1"/>
  <c r="C199" i="43"/>
  <c r="E199" i="43" s="1"/>
  <c r="E195" i="43"/>
  <c r="C209" i="43"/>
  <c r="E209" i="43" s="1"/>
  <c r="F210" i="43" s="1"/>
  <c r="E26" i="43" s="1"/>
  <c r="C201" i="43"/>
  <c r="E201" i="43" s="1"/>
  <c r="C197" i="43"/>
  <c r="E197" i="43" s="1"/>
  <c r="D75" i="39"/>
  <c r="E75" i="39" s="1"/>
  <c r="E184" i="39"/>
  <c r="D81" i="39"/>
  <c r="E81" i="39" s="1"/>
  <c r="E114" i="39"/>
  <c r="C173" i="39"/>
  <c r="E232" i="39"/>
  <c r="D96" i="39"/>
  <c r="E96" i="39" s="1"/>
  <c r="D98" i="39" s="1"/>
  <c r="E98" i="39" s="1"/>
  <c r="E99" i="39" s="1"/>
  <c r="D173" i="39"/>
  <c r="E180" i="39"/>
  <c r="E182" i="39"/>
  <c r="E73" i="39"/>
  <c r="E117" i="39"/>
  <c r="E179" i="39"/>
  <c r="E181" i="39"/>
  <c r="E183" i="39"/>
  <c r="D253" i="39"/>
  <c r="F279" i="39"/>
  <c r="F281" i="39" s="1"/>
  <c r="E35" i="39" s="1"/>
  <c r="F293" i="39"/>
  <c r="E36" i="39" s="1"/>
  <c r="C215" i="39"/>
  <c r="D230" i="39" s="1"/>
  <c r="E230" i="39" s="1"/>
  <c r="D76" i="39"/>
  <c r="E76" i="39" s="1"/>
  <c r="E120" i="39"/>
  <c r="D63" i="39"/>
  <c r="E63" i="39" s="1"/>
  <c r="D266" i="39"/>
  <c r="E266" i="39" s="1"/>
  <c r="D267" i="39" s="1"/>
  <c r="E138" i="39"/>
  <c r="C145" i="39"/>
  <c r="E145" i="39" s="1"/>
  <c r="E48" i="39"/>
  <c r="D78" i="39"/>
  <c r="E78" i="39" s="1"/>
  <c r="C137" i="39"/>
  <c r="E137" i="39" s="1"/>
  <c r="C144" i="39"/>
  <c r="E144" i="39" s="1"/>
  <c r="D199" i="39"/>
  <c r="E199" i="39" s="1"/>
  <c r="E201" i="39"/>
  <c r="E146" i="39" l="1"/>
  <c r="D118" i="39"/>
  <c r="E118" i="39" s="1"/>
  <c r="E173" i="39"/>
  <c r="F205" i="43"/>
  <c r="E25" i="43" s="1"/>
  <c r="F140" i="39"/>
  <c r="E23" i="39" s="1"/>
  <c r="E121" i="39"/>
  <c r="D122" i="39" s="1"/>
  <c r="D233" i="39"/>
  <c r="E233" i="39" s="1"/>
  <c r="D64" i="39"/>
  <c r="E64" i="39" s="1"/>
  <c r="E65" i="39" s="1"/>
  <c r="D185" i="39"/>
  <c r="E185" i="39" s="1"/>
  <c r="E132" i="39"/>
  <c r="D100" i="39"/>
  <c r="D200" i="39"/>
  <c r="E200" i="39" s="1"/>
  <c r="C216" i="39"/>
  <c r="D217" i="39" s="1"/>
  <c r="E217" i="39" s="1"/>
  <c r="D82" i="39"/>
  <c r="E82" i="39" s="1"/>
  <c r="C220" i="39"/>
  <c r="D204" i="39"/>
  <c r="E204" i="39" s="1"/>
  <c r="D205" i="39" s="1"/>
  <c r="E205" i="39" s="1"/>
  <c r="D66" i="39" l="1"/>
  <c r="E131" i="39"/>
  <c r="F133" i="39" s="1"/>
  <c r="E22" i="39" s="1"/>
  <c r="C221" i="39"/>
  <c r="D222" i="39" s="1"/>
  <c r="E222" i="39" s="1"/>
  <c r="E223" i="39" s="1"/>
  <c r="E224" i="39" s="1"/>
  <c r="D225" i="39" s="1"/>
  <c r="E225" i="39" s="1"/>
  <c r="D83" i="39"/>
  <c r="E83" i="39" s="1"/>
  <c r="E84" i="39" s="1"/>
  <c r="E206" i="39"/>
  <c r="E207" i="39" s="1"/>
  <c r="D208" i="39" s="1"/>
  <c r="E208" i="39" s="1"/>
  <c r="D85" i="39" l="1"/>
  <c r="E165" i="2"/>
  <c r="E163" i="2"/>
  <c r="I12" i="19" l="1"/>
  <c r="I13" i="19" l="1"/>
  <c r="J12" i="19"/>
  <c r="E20" i="32"/>
  <c r="F21" i="32" s="1"/>
  <c r="F23" i="32" s="1"/>
  <c r="E11" i="32" s="1"/>
  <c r="A12" i="32"/>
  <c r="A11" i="32"/>
  <c r="J13" i="19" l="1"/>
  <c r="F26" i="32"/>
  <c r="D31" i="32" l="1"/>
  <c r="C300" i="2" l="1"/>
  <c r="A36" i="2" l="1"/>
  <c r="E291" i="2"/>
  <c r="E290" i="2"/>
  <c r="E289" i="2"/>
  <c r="E292" i="2"/>
  <c r="E288" i="2"/>
  <c r="E287" i="2"/>
  <c r="E286" i="2"/>
  <c r="F293" i="2" l="1"/>
  <c r="E36" i="2" s="1"/>
  <c r="D250" i="2" l="1"/>
  <c r="C22" i="9" l="1"/>
  <c r="A25" i="2" l="1"/>
  <c r="E150" i="2"/>
  <c r="A145" i="2" l="1"/>
  <c r="A24" i="19"/>
  <c r="C11" i="19"/>
  <c r="E10" i="19"/>
  <c r="E5" i="19"/>
  <c r="E4" i="19"/>
  <c r="E11" i="19" l="1"/>
  <c r="E139" i="2" l="1"/>
  <c r="C184" i="2" l="1"/>
  <c r="C183" i="2"/>
  <c r="C182" i="2"/>
  <c r="C181" i="2"/>
  <c r="C180" i="2"/>
  <c r="C179" i="2"/>
  <c r="G25" i="11" l="1"/>
  <c r="G28" i="11" s="1"/>
  <c r="G30" i="11" l="1"/>
  <c r="G32" i="11" s="1"/>
  <c r="B54" i="2" l="1"/>
  <c r="E174" i="2" s="1"/>
  <c r="E239" i="43" l="1"/>
  <c r="F239" i="43" s="1"/>
  <c r="F241" i="43" s="1"/>
  <c r="E29" i="43" s="1"/>
  <c r="E111" i="43"/>
  <c r="F111" i="43" s="1"/>
  <c r="E140" i="43"/>
  <c r="F140" i="43" s="1"/>
  <c r="E128" i="43"/>
  <c r="F128" i="43" s="1"/>
  <c r="E81" i="43"/>
  <c r="E69" i="39"/>
  <c r="E88" i="39"/>
  <c r="E174" i="39"/>
  <c r="F174" i="39" s="1"/>
  <c r="F186" i="39"/>
  <c r="E226" i="2" l="1"/>
  <c r="E234" i="2" s="1"/>
  <c r="E302" i="2" s="1"/>
  <c r="E209" i="39"/>
  <c r="E18" i="43"/>
  <c r="E187" i="43"/>
  <c r="F187" i="43" s="1"/>
  <c r="E24" i="43" s="1"/>
  <c r="E162" i="43"/>
  <c r="F162" i="43" s="1"/>
  <c r="E179" i="43"/>
  <c r="F179" i="43" s="1"/>
  <c r="E23" i="43" s="1"/>
  <c r="F142" i="43"/>
  <c r="E19" i="43" s="1"/>
  <c r="E152" i="39"/>
  <c r="F152" i="39" s="1"/>
  <c r="E25" i="39" s="1"/>
  <c r="F188" i="39"/>
  <c r="E26" i="39" s="1"/>
  <c r="F146" i="39"/>
  <c r="C27" i="5"/>
  <c r="E22" i="43" l="1"/>
  <c r="F222" i="43"/>
  <c r="E20" i="43" s="1"/>
  <c r="E24" i="39"/>
  <c r="E226" i="39"/>
  <c r="F209" i="39"/>
  <c r="C231" i="2"/>
  <c r="C230" i="2"/>
  <c r="C232" i="2"/>
  <c r="E21" i="43" l="1"/>
  <c r="E234" i="39"/>
  <c r="F226" i="39"/>
  <c r="E30" i="39" s="1"/>
  <c r="E29" i="39"/>
  <c r="A38" i="2"/>
  <c r="A37" i="2"/>
  <c r="A35" i="2"/>
  <c r="A27" i="2"/>
  <c r="A26" i="2"/>
  <c r="A17" i="2"/>
  <c r="E302" i="39" l="1"/>
  <c r="F302" i="39" s="1"/>
  <c r="F304" i="39" s="1"/>
  <c r="E37" i="39" s="1"/>
  <c r="F234" i="39"/>
  <c r="C18" i="9"/>
  <c r="E31" i="39" l="1"/>
  <c r="C16" i="9"/>
  <c r="C25" i="9"/>
  <c r="C199" i="2"/>
  <c r="C204" i="2"/>
  <c r="D206" i="2" s="1"/>
  <c r="E47" i="2" l="1"/>
  <c r="C138" i="2" s="1"/>
  <c r="E46" i="2"/>
  <c r="E45" i="2"/>
  <c r="E44" i="2"/>
  <c r="E51" i="2"/>
  <c r="C137" i="2" l="1"/>
  <c r="C145" i="2"/>
  <c r="E138" i="2"/>
  <c r="C225" i="2"/>
  <c r="C219" i="2"/>
  <c r="D252" i="2"/>
  <c r="D248" i="2"/>
  <c r="D246" i="2"/>
  <c r="D244" i="2"/>
  <c r="D179" i="2" l="1"/>
  <c r="E179" i="2" s="1"/>
  <c r="E162" i="2"/>
  <c r="E164" i="2"/>
  <c r="E166" i="2"/>
  <c r="E167" i="2"/>
  <c r="E168" i="2"/>
  <c r="E169" i="2"/>
  <c r="E170" i="2"/>
  <c r="E171" i="2"/>
  <c r="E172" i="2"/>
  <c r="E161" i="2"/>
  <c r="D62" i="2" l="1"/>
  <c r="E62" i="2" s="1"/>
  <c r="D61" i="2"/>
  <c r="E61" i="2" s="1"/>
  <c r="D94" i="2"/>
  <c r="E94" i="2" s="1"/>
  <c r="C114" i="2"/>
  <c r="D63" i="2" l="1"/>
  <c r="E63" i="2" s="1"/>
  <c r="C117" i="2"/>
  <c r="D95" i="2"/>
  <c r="E95" i="2" s="1"/>
  <c r="D96" i="2" s="1"/>
  <c r="E96" i="2" s="1"/>
  <c r="C81" i="2"/>
  <c r="C78" i="2"/>
  <c r="A34" i="2" l="1"/>
  <c r="A33" i="2"/>
  <c r="A32" i="2"/>
  <c r="A31" i="2"/>
  <c r="A30" i="2"/>
  <c r="A29" i="2"/>
  <c r="A28" i="2"/>
  <c r="A24" i="2"/>
  <c r="A23" i="2"/>
  <c r="A22" i="2"/>
  <c r="A21" i="2"/>
  <c r="A20" i="2"/>
  <c r="A19" i="2"/>
  <c r="A18" i="2"/>
  <c r="C21" i="8"/>
  <c r="E88" i="2"/>
  <c r="E69" i="2"/>
  <c r="E152" i="2" s="1"/>
  <c r="F152" i="2" s="1"/>
  <c r="E25" i="2" s="1"/>
  <c r="D213" i="2"/>
  <c r="C21" i="4"/>
  <c r="F14" i="4"/>
  <c r="E14" i="4"/>
  <c r="D14" i="4"/>
  <c r="C18" i="8"/>
  <c r="C29" i="5"/>
  <c r="C120" i="2"/>
  <c r="C111" i="2"/>
  <c r="D114" i="2"/>
  <c r="E114" i="2" s="1"/>
  <c r="E92" i="2"/>
  <c r="D132" i="2" s="1"/>
  <c r="C265" i="2"/>
  <c r="E265" i="2" s="1"/>
  <c r="D242" i="2"/>
  <c r="D253" i="2" s="1"/>
  <c r="E196" i="2"/>
  <c r="D218" i="2"/>
  <c r="C205" i="2"/>
  <c r="C200" i="2"/>
  <c r="C75" i="2"/>
  <c r="D73" i="2"/>
  <c r="E300" i="2"/>
  <c r="D301" i="2" s="1"/>
  <c r="E301" i="2" s="1"/>
  <c r="C201" i="2"/>
  <c r="C218" i="2" s="1"/>
  <c r="A44" i="2"/>
  <c r="A45" i="2"/>
  <c r="A46" i="2"/>
  <c r="A47" i="2"/>
  <c r="A51" i="2"/>
  <c r="E60" i="2"/>
  <c r="D131" i="2" s="1"/>
  <c r="C83" i="2"/>
  <c r="A137" i="2"/>
  <c r="A144" i="2" s="1"/>
  <c r="D180" i="2"/>
  <c r="E180" i="2" s="1"/>
  <c r="D181" i="2"/>
  <c r="E181" i="2" s="1"/>
  <c r="D182" i="2"/>
  <c r="E182" i="2" s="1"/>
  <c r="D183" i="2"/>
  <c r="E183" i="2" s="1"/>
  <c r="D184" i="2"/>
  <c r="E184" i="2" s="1"/>
  <c r="E263" i="2"/>
  <c r="E232" i="2"/>
  <c r="E231" i="2"/>
  <c r="E276" i="2"/>
  <c r="E277" i="2"/>
  <c r="E278" i="2"/>
  <c r="C105" i="48" l="1"/>
  <c r="C248" i="43"/>
  <c r="C62" i="45"/>
  <c r="E62" i="45" s="1"/>
  <c r="F63" i="45" s="1"/>
  <c r="F65" i="45" s="1"/>
  <c r="C311" i="39"/>
  <c r="E31" i="32"/>
  <c r="F32" i="32" s="1"/>
  <c r="F34" i="32" s="1"/>
  <c r="D98" i="2"/>
  <c r="E98" i="2" s="1"/>
  <c r="E99" i="2" s="1"/>
  <c r="E132" i="2" s="1"/>
  <c r="C311" i="2"/>
  <c r="C31" i="5"/>
  <c r="C32" i="5" s="1"/>
  <c r="C30" i="5"/>
  <c r="C32" i="8" s="1"/>
  <c r="D199" i="2"/>
  <c r="E199" i="2" s="1"/>
  <c r="D81" i="2"/>
  <c r="E81" i="2" s="1"/>
  <c r="D76" i="2"/>
  <c r="E76" i="2" s="1"/>
  <c r="E108" i="2"/>
  <c r="D112" i="2"/>
  <c r="E112" i="2" s="1"/>
  <c r="D115" i="2"/>
  <c r="E115" i="2" s="1"/>
  <c r="D117" i="2"/>
  <c r="E117" i="2" s="1"/>
  <c r="D111" i="2"/>
  <c r="E111" i="2" s="1"/>
  <c r="D79" i="2"/>
  <c r="E79" i="2" s="1"/>
  <c r="D78" i="2"/>
  <c r="E78" i="2" s="1"/>
  <c r="D75" i="2"/>
  <c r="E75" i="2" s="1"/>
  <c r="F279" i="2"/>
  <c r="F281" i="2" s="1"/>
  <c r="E35" i="2" s="1"/>
  <c r="E73" i="2"/>
  <c r="E201" i="2"/>
  <c r="C220" i="2" s="1"/>
  <c r="D173" i="2"/>
  <c r="E137" i="2"/>
  <c r="F140" i="2" s="1"/>
  <c r="C173" i="2"/>
  <c r="E48" i="2"/>
  <c r="C144" i="2"/>
  <c r="E144" i="2" s="1"/>
  <c r="E218" i="2"/>
  <c r="E145" i="2"/>
  <c r="D64" i="2"/>
  <c r="E298" i="2"/>
  <c r="D299" i="2" s="1"/>
  <c r="E299" i="2" s="1"/>
  <c r="F302" i="2" s="1"/>
  <c r="E213" i="2"/>
  <c r="D266" i="2"/>
  <c r="E266" i="2" s="1"/>
  <c r="D267" i="2" s="1"/>
  <c r="D185" i="2"/>
  <c r="F304" i="2" l="1"/>
  <c r="E37" i="2" s="1"/>
  <c r="E17" i="45"/>
  <c r="E18" i="45" s="1"/>
  <c r="F68" i="45"/>
  <c r="D68" i="45" s="1"/>
  <c r="E64" i="2"/>
  <c r="E65" i="2" s="1"/>
  <c r="E12" i="32"/>
  <c r="F37" i="32"/>
  <c r="E38" i="32" s="1"/>
  <c r="C37" i="5"/>
  <c r="C36" i="8" s="1"/>
  <c r="D200" i="2"/>
  <c r="E200" i="2" s="1"/>
  <c r="C215" i="2"/>
  <c r="D230" i="2" s="1"/>
  <c r="C29" i="8"/>
  <c r="C20" i="8"/>
  <c r="C26" i="8" s="1"/>
  <c r="C35" i="8" s="1"/>
  <c r="D82" i="2"/>
  <c r="E82" i="2" s="1"/>
  <c r="D83" i="2" s="1"/>
  <c r="E83" i="2" s="1"/>
  <c r="D118" i="2"/>
  <c r="E118" i="2" s="1"/>
  <c r="E23" i="2"/>
  <c r="F146" i="2"/>
  <c r="E185" i="2"/>
  <c r="F186" i="2" s="1"/>
  <c r="E173" i="2"/>
  <c r="F174" i="2" s="1"/>
  <c r="D204" i="2"/>
  <c r="E204" i="2" s="1"/>
  <c r="D205" i="2" s="1"/>
  <c r="E205" i="2" s="1"/>
  <c r="D100" i="2"/>
  <c r="E120" i="2" l="1"/>
  <c r="E121" i="2" s="1"/>
  <c r="D122" i="2" s="1"/>
  <c r="F76" i="45"/>
  <c r="F9" i="19"/>
  <c r="K9" i="19" s="1"/>
  <c r="F73" i="45"/>
  <c r="F17" i="45"/>
  <c r="F16" i="45"/>
  <c r="F13" i="45"/>
  <c r="F14" i="45"/>
  <c r="F15" i="45"/>
  <c r="D66" i="2"/>
  <c r="E131" i="2"/>
  <c r="F133" i="2" s="1"/>
  <c r="E22" i="2" s="1"/>
  <c r="E13" i="32"/>
  <c r="E206" i="2"/>
  <c r="E207" i="2" s="1"/>
  <c r="D208" i="2" s="1"/>
  <c r="E208" i="2" s="1"/>
  <c r="F209" i="2" s="1"/>
  <c r="E29" i="2" s="1"/>
  <c r="C216" i="2"/>
  <c r="E217" i="2" s="1"/>
  <c r="E230" i="2"/>
  <c r="D233" i="2" s="1"/>
  <c r="E233" i="2" s="1"/>
  <c r="F234" i="2" s="1"/>
  <c r="E31" i="2" s="1"/>
  <c r="E24" i="2"/>
  <c r="C30" i="8"/>
  <c r="C33" i="8" s="1"/>
  <c r="C37" i="8"/>
  <c r="C221" i="2"/>
  <c r="F188" i="2"/>
  <c r="E26" i="2" s="1"/>
  <c r="E84" i="2"/>
  <c r="F18" i="45" l="1"/>
  <c r="D222" i="2"/>
  <c r="E222" i="2" s="1"/>
  <c r="E223" i="2" s="1"/>
  <c r="E224" i="2" s="1"/>
  <c r="D225" i="2" s="1"/>
  <c r="E225" i="2" s="1"/>
  <c r="F11" i="32"/>
  <c r="F8" i="19"/>
  <c r="F12" i="32"/>
  <c r="C38" i="8"/>
  <c r="C50" i="48" s="1"/>
  <c r="E50" i="48" s="1"/>
  <c r="E51" i="48" s="1"/>
  <c r="D52" i="48" s="1"/>
  <c r="E52" i="48" s="1"/>
  <c r="F53" i="48" s="1"/>
  <c r="D85" i="2"/>
  <c r="E17" i="48" l="1"/>
  <c r="F74" i="48"/>
  <c r="C78" i="43"/>
  <c r="E78" i="43" s="1"/>
  <c r="E79" i="43" s="1"/>
  <c r="D80" i="43" s="1"/>
  <c r="E80" i="43" s="1"/>
  <c r="F81" i="43" s="1"/>
  <c r="F113" i="43" s="1"/>
  <c r="C40" i="48"/>
  <c r="E40" i="48" s="1"/>
  <c r="E41" i="48" s="1"/>
  <c r="D42" i="48" s="1"/>
  <c r="E42" i="48" s="1"/>
  <c r="F43" i="48" s="1"/>
  <c r="E16" i="48" s="1"/>
  <c r="F13" i="32"/>
  <c r="C100" i="39"/>
  <c r="E100" i="39" s="1"/>
  <c r="E101" i="39" s="1"/>
  <c r="D102" i="39" s="1"/>
  <c r="E102" i="39" s="1"/>
  <c r="F103" i="39" s="1"/>
  <c r="E20" i="39" s="1"/>
  <c r="C66" i="39"/>
  <c r="E66" i="39" s="1"/>
  <c r="E67" i="39" s="1"/>
  <c r="D68" i="39" s="1"/>
  <c r="E68" i="39" s="1"/>
  <c r="F69" i="39" s="1"/>
  <c r="E18" i="39" s="1"/>
  <c r="C122" i="39"/>
  <c r="E122" i="39" s="1"/>
  <c r="E123" i="39" s="1"/>
  <c r="D124" i="39" s="1"/>
  <c r="E124" i="39" s="1"/>
  <c r="F125" i="39" s="1"/>
  <c r="C85" i="39"/>
  <c r="E85" i="39" s="1"/>
  <c r="E86" i="39" s="1"/>
  <c r="D87" i="39" s="1"/>
  <c r="E87" i="39" s="1"/>
  <c r="F88" i="39" s="1"/>
  <c r="E19" i="39" s="1"/>
  <c r="E30" i="2"/>
  <c r="C100" i="2"/>
  <c r="C85" i="2"/>
  <c r="E85" i="2" s="1"/>
  <c r="E86" i="2" s="1"/>
  <c r="D87" i="2" s="1"/>
  <c r="E87" i="2" s="1"/>
  <c r="F88" i="2" s="1"/>
  <c r="E19" i="2" s="1"/>
  <c r="C66" i="2"/>
  <c r="E66" i="2" s="1"/>
  <c r="E67" i="2" s="1"/>
  <c r="D68" i="2" s="1"/>
  <c r="E68" i="2" s="1"/>
  <c r="F69" i="2" s="1"/>
  <c r="C122" i="2"/>
  <c r="E122" i="2" s="1"/>
  <c r="E123" i="2" s="1"/>
  <c r="D124" i="2" s="1"/>
  <c r="E124" i="2" s="1"/>
  <c r="F125" i="2" s="1"/>
  <c r="E100" i="2"/>
  <c r="E101" i="2" s="1"/>
  <c r="D102" i="2" s="1"/>
  <c r="E102" i="2" s="1"/>
  <c r="F103" i="2" s="1"/>
  <c r="E14" i="43" l="1"/>
  <c r="E15" i="48"/>
  <c r="F101" i="48"/>
  <c r="E11" i="43"/>
  <c r="F243" i="43"/>
  <c r="E21" i="39"/>
  <c r="F154" i="39"/>
  <c r="E18" i="2"/>
  <c r="E20" i="2"/>
  <c r="E21" i="2"/>
  <c r="F154" i="2"/>
  <c r="D105" i="48" l="1"/>
  <c r="E105" i="48" s="1"/>
  <c r="F106" i="48" s="1"/>
  <c r="F108" i="48" s="1"/>
  <c r="E23" i="48" s="1"/>
  <c r="E24" i="48" s="1"/>
  <c r="D248" i="43"/>
  <c r="E248" i="43" s="1"/>
  <c r="F249" i="43" s="1"/>
  <c r="F251" i="43" s="1"/>
  <c r="E30" i="43" s="1"/>
  <c r="E31" i="43" s="1"/>
  <c r="E17" i="39"/>
  <c r="E17" i="2"/>
  <c r="F110" i="48" l="1"/>
  <c r="F6" i="19" s="1"/>
  <c r="F22" i="48"/>
  <c r="F21" i="48"/>
  <c r="F19" i="48"/>
  <c r="F20" i="48"/>
  <c r="F17" i="48"/>
  <c r="F16" i="48"/>
  <c r="F18" i="48"/>
  <c r="F15" i="48"/>
  <c r="F23" i="48"/>
  <c r="F254" i="43"/>
  <c r="F30" i="43"/>
  <c r="F12" i="43"/>
  <c r="F13" i="43"/>
  <c r="F16" i="43"/>
  <c r="F17" i="43"/>
  <c r="F26" i="43"/>
  <c r="F25" i="43"/>
  <c r="F28" i="43"/>
  <c r="F15" i="43"/>
  <c r="F27" i="43"/>
  <c r="F29" i="43"/>
  <c r="F23" i="43"/>
  <c r="F19" i="43"/>
  <c r="F24" i="43"/>
  <c r="F18" i="43"/>
  <c r="F20" i="43"/>
  <c r="F22" i="43"/>
  <c r="F21" i="43"/>
  <c r="F14" i="43"/>
  <c r="F7" i="19"/>
  <c r="K7" i="19" s="1"/>
  <c r="F11" i="43"/>
  <c r="F24" i="48" l="1"/>
  <c r="F31" i="43"/>
  <c r="G8" i="19"/>
  <c r="H8" i="19"/>
  <c r="C242" i="2" l="1"/>
  <c r="C267" i="2"/>
  <c r="E267" i="2" s="1"/>
  <c r="F268" i="2" s="1"/>
  <c r="E34" i="2" s="1"/>
  <c r="C267" i="39"/>
  <c r="E267" i="39" s="1"/>
  <c r="F268" i="39" s="1"/>
  <c r="E34" i="39" s="1"/>
  <c r="C248" i="2" l="1"/>
  <c r="E248" i="2" s="1"/>
  <c r="C244" i="2"/>
  <c r="C252" i="2"/>
  <c r="E252" i="2" s="1"/>
  <c r="C258" i="2"/>
  <c r="E258" i="2" s="1"/>
  <c r="F259" i="2" s="1"/>
  <c r="E33" i="2" s="1"/>
  <c r="C246" i="2"/>
  <c r="E246" i="2" s="1"/>
  <c r="E242" i="2"/>
  <c r="C242" i="39"/>
  <c r="C248" i="39" s="1"/>
  <c r="E248" i="39" s="1"/>
  <c r="E242" i="39" l="1"/>
  <c r="C244" i="39"/>
  <c r="E244" i="39" s="1"/>
  <c r="C252" i="39"/>
  <c r="E252" i="39" s="1"/>
  <c r="C246" i="39"/>
  <c r="E246" i="39" s="1"/>
  <c r="E244" i="2"/>
  <c r="C250" i="2"/>
  <c r="E250" i="2" s="1"/>
  <c r="C258" i="39"/>
  <c r="E258" i="39" s="1"/>
  <c r="F259" i="39" s="1"/>
  <c r="E33" i="39" s="1"/>
  <c r="C250" i="39" l="1"/>
  <c r="E250" i="39" s="1"/>
  <c r="F254" i="39" s="1"/>
  <c r="F254" i="2"/>
  <c r="E32" i="2" l="1"/>
  <c r="E28" i="2" s="1"/>
  <c r="F271" i="2"/>
  <c r="F306" i="2" s="1"/>
  <c r="D311" i="2" s="1"/>
  <c r="E311" i="2" s="1"/>
  <c r="F312" i="2" s="1"/>
  <c r="F314" i="2" s="1"/>
  <c r="E38" i="2" s="1"/>
  <c r="E32" i="39"/>
  <c r="E28" i="39" s="1"/>
  <c r="F271" i="39"/>
  <c r="E27" i="39" s="1"/>
  <c r="F306" i="39" l="1"/>
  <c r="D311" i="39" s="1"/>
  <c r="E311" i="39" s="1"/>
  <c r="F312" i="39" s="1"/>
  <c r="F314" i="39" s="1"/>
  <c r="E38" i="39" s="1"/>
  <c r="E39" i="39" s="1"/>
  <c r="E27" i="2"/>
  <c r="E39" i="2" s="1"/>
  <c r="F317" i="2"/>
  <c r="F322" i="2" s="1"/>
  <c r="F18" i="39" l="1"/>
  <c r="F28" i="39"/>
  <c r="F29" i="39"/>
  <c r="F317" i="39"/>
  <c r="F322" i="39" s="1"/>
  <c r="F27" i="39"/>
  <c r="F19" i="39"/>
  <c r="F38" i="39"/>
  <c r="F33" i="39"/>
  <c r="F37" i="39"/>
  <c r="F21" i="39"/>
  <c r="F32" i="39"/>
  <c r="F34" i="39"/>
  <c r="F20" i="39"/>
  <c r="F23" i="39"/>
  <c r="F31" i="39"/>
  <c r="F25" i="39"/>
  <c r="F4" i="19"/>
  <c r="F17" i="39"/>
  <c r="F22" i="39"/>
  <c r="F30" i="39"/>
  <c r="F35" i="39"/>
  <c r="F24" i="39"/>
  <c r="F36" i="39"/>
  <c r="F26" i="39"/>
  <c r="F21" i="2"/>
  <c r="F26" i="2"/>
  <c r="F18" i="2"/>
  <c r="F37" i="2"/>
  <c r="F22" i="2"/>
  <c r="F33" i="2"/>
  <c r="F25" i="2"/>
  <c r="F28" i="2"/>
  <c r="F31" i="2"/>
  <c r="F38" i="2"/>
  <c r="F24" i="2"/>
  <c r="F36" i="2"/>
  <c r="F20" i="2"/>
  <c r="F23" i="2"/>
  <c r="F17" i="2"/>
  <c r="F34" i="2"/>
  <c r="F27" i="2"/>
  <c r="F32" i="2"/>
  <c r="F19" i="2"/>
  <c r="F29" i="2"/>
  <c r="F35" i="2"/>
  <c r="F30" i="2"/>
  <c r="H4" i="19" l="1"/>
  <c r="F5" i="19"/>
  <c r="G5" i="19" s="1"/>
  <c r="G4" i="19"/>
  <c r="F39" i="39"/>
  <c r="F39" i="2"/>
  <c r="H5" i="19" l="1"/>
  <c r="F11" i="19"/>
  <c r="K4" i="19"/>
  <c r="K11" i="19" s="1"/>
  <c r="J17" i="19" l="1"/>
  <c r="F13" i="19"/>
  <c r="A25" i="19"/>
  <c r="G11" i="19"/>
  <c r="H11" i="19"/>
</calcChain>
</file>

<file path=xl/comments1.xml><?xml version="1.0" encoding="utf-8"?>
<comments xmlns="http://schemas.openxmlformats.org/spreadsheetml/2006/main">
  <authors>
    <author>Clauber Bridi</author>
  </authors>
  <commentList>
    <comment ref="D57" author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58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64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65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</commentList>
</comments>
</file>

<file path=xl/sharedStrings.xml><?xml version="1.0" encoding="utf-8"?>
<sst xmlns="http://schemas.openxmlformats.org/spreadsheetml/2006/main" count="2219" uniqueCount="620">
  <si>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</si>
  <si>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</si>
  <si>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</si>
  <si>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</si>
  <si>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</si>
  <si>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</si>
  <si>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</si>
  <si>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</si>
  <si>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</si>
  <si>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</si>
  <si>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</si>
  <si>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</si>
  <si>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</si>
  <si>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</si>
  <si>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</si>
  <si>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</si>
  <si>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</si>
  <si>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</si>
  <si>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</si>
  <si>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</si>
  <si>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</si>
  <si>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</si>
  <si>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</si>
  <si>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</si>
  <si>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</si>
  <si>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</si>
  <si>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</si>
  <si>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</si>
  <si>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</si>
  <si>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</si>
  <si>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</si>
  <si>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</si>
  <si>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</si>
  <si>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</si>
  <si>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</si>
  <si>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</si>
  <si>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</si>
  <si>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</si>
  <si>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</si>
  <si>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</si>
  <si>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</si>
  <si>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</si>
  <si>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</si>
  <si>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</si>
  <si>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</si>
  <si>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</si>
  <si>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</si>
  <si>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</si>
  <si>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</si>
  <si>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</si>
  <si>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</si>
  <si>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</si>
  <si>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</si>
  <si>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</si>
  <si>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</si>
  <si>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</si>
  <si>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</si>
  <si>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</si>
  <si>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</si>
  <si>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cj</t>
  </si>
  <si>
    <t>Total de mão-de-obra (postos de trabalho)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</si>
  <si>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</si>
  <si>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</si>
  <si>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</si>
  <si>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</si>
  <si>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</si>
  <si>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</si>
  <si>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</si>
  <si>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</si>
  <si>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</si>
  <si>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PREÇO POR TONELADA COLETADA:  [A/B]</t>
  </si>
  <si>
    <t>Custo de recapagem</t>
  </si>
  <si>
    <t>Recipiente térmico para água (5L)</t>
  </si>
  <si>
    <t>Total por Coletor</t>
  </si>
  <si>
    <t>Coletor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</si>
  <si>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</si>
  <si>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</si>
  <si>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</si>
  <si>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</si>
  <si>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</si>
  <si>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</si>
  <si>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</si>
  <si>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</si>
  <si>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</si>
  <si>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</si>
  <si>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Fórmula para o cálculo do BDI:</t>
  </si>
  <si>
    <t>{[(1+AC+SRG) x (1+L) x (1+DF)] / (1-T)} -1</t>
  </si>
  <si>
    <t>Resultado do cálculo do BDI: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</si>
  <si>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</si>
  <si>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</si>
  <si>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</si>
  <si>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</si>
  <si>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</si>
  <si>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</si>
  <si>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r>
      <t xml:space="preserve">Custo jg. compl. + </t>
    </r>
    <r>
      <rPr>
        <sz val="10"/>
        <color indexed="10"/>
        <rFont val="Arial"/>
        <family val="2"/>
      </rPr>
      <t>X</t>
    </r>
    <r>
      <rPr>
        <sz val="10"/>
        <rFont val="Arial"/>
        <family val="2"/>
      </rPr>
      <t xml:space="preserve"> recap./ km rodado</t>
    </r>
  </si>
  <si>
    <t>Quantitativos</t>
  </si>
  <si>
    <t>horas trabalhadas</t>
  </si>
  <si>
    <t>Horas Extras Noturnas (100%)</t>
  </si>
  <si>
    <t>1.1. Coletor Turno Dia</t>
  </si>
  <si>
    <t>hora contabilizada</t>
  </si>
  <si>
    <t>Vida útil do chassis</t>
  </si>
  <si>
    <t>anos</t>
  </si>
  <si>
    <t>Depreciação do chassis</t>
  </si>
  <si>
    <t>Custo de aquisição do chassis</t>
  </si>
  <si>
    <t>i = taxa de juros do mercado (sugere-se adotar a taxa SELIC)</t>
  </si>
  <si>
    <t>n = vida útil do bem em anos</t>
  </si>
  <si>
    <t>Custo do chassis</t>
  </si>
  <si>
    <t>3.1.2. Remuneração do Capital</t>
  </si>
  <si>
    <t>Im = investimento médio</t>
  </si>
  <si>
    <t>Investimento médio total do chassis</t>
  </si>
  <si>
    <t>Remuneração mensal de capital do chassis</t>
  </si>
  <si>
    <t>Custo de manutenção dos caminhões</t>
  </si>
  <si>
    <t>Quilometragem mensal</t>
  </si>
  <si>
    <t>R$/km rodado</t>
  </si>
  <si>
    <t>Número de recapagens por pneu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</si>
  <si>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</si>
  <si>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</si>
  <si>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</si>
  <si>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</si>
  <si>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</si>
  <si>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</si>
  <si>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</si>
  <si>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</si>
  <si>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</si>
  <si>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</si>
  <si>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</si>
  <si>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</si>
  <si>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</si>
  <si>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</si>
  <si>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</si>
  <si>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</si>
  <si>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</si>
  <si>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</si>
  <si>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</si>
  <si>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</si>
  <si>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</si>
  <si>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</si>
  <si>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</si>
  <si>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</si>
  <si>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</si>
  <si>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</si>
  <si>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</si>
  <si>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</si>
  <si>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</si>
  <si>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</si>
  <si>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</si>
  <si>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</si>
  <si>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</si>
  <si>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</si>
  <si>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</si>
  <si>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</si>
  <si>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</si>
  <si>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</si>
  <si>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</si>
  <si>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</si>
  <si>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</si>
  <si>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</si>
  <si>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</si>
  <si>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</si>
  <si>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</si>
  <si>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</si>
  <si>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</si>
  <si>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</si>
  <si>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</si>
  <si>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</si>
  <si>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</si>
  <si>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</si>
  <si>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</si>
  <si>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</si>
  <si>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</si>
  <si>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</si>
  <si>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</si>
  <si>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</si>
  <si>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</si>
  <si>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</si>
  <si>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</si>
  <si>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</si>
  <si>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</si>
  <si>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</si>
  <si>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</si>
  <si>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</si>
  <si>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</si>
  <si>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</si>
  <si>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</si>
  <si>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</si>
  <si>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</si>
  <si>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</si>
  <si>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</si>
  <si>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</si>
  <si>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</si>
  <si>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</si>
  <si>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</si>
  <si>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</si>
  <si>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</si>
  <si>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Excluir esta linha caso a contratação seja por preço global mensal</t>
  </si>
  <si>
    <t>Rio Grande do Sul  - Coleta de Resíduos Não-Perigosos - CNAE 38114</t>
  </si>
  <si>
    <t xml:space="preserve">1. Acesse o Portal do CAGED no link http://bi.mte.gov.br/cagedestabelecimento/pages/consulta.xhtml 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</si>
  <si>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</si>
  <si>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"38114 – Coleta de Resíduos Não-Perigosos"</t>
  </si>
  <si>
    <t>5. Clique em Gerar Relatório</t>
  </si>
  <si>
    <t>Para preencher esta planilha siga os passos 1 a 5:</t>
  </si>
  <si>
    <t>Idade do veículo (ano)</t>
  </si>
  <si>
    <t>Idade do veículo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</si>
  <si>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</si>
  <si>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</si>
  <si>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</si>
  <si>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</si>
  <si>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</si>
  <si>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Horas Extras Noturnas (50%)</t>
  </si>
  <si>
    <t>Excluir esta linha caso a contratação não tenha previsão de horas extras explícita no edital</t>
  </si>
  <si>
    <t>Descanso Semanal Remunerado (DSR) - hora extra</t>
  </si>
  <si>
    <t>C2</t>
  </si>
  <si>
    <t>B3</t>
  </si>
  <si>
    <t xml:space="preserve">Quantidade média de resíduos coletados por mês: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</si>
  <si>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</si>
  <si>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</si>
  <si>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</si>
  <si>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</si>
  <si>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</si>
  <si>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</si>
  <si>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</si>
  <si>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</si>
  <si>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</si>
  <si>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</si>
  <si>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</si>
  <si>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</si>
  <si>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</si>
  <si>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</si>
  <si>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</si>
  <si>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</si>
  <si>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CÁLCULO DAS VERBAS INDENIZATÓRIAS DOS EMPREGADOS NO SETOR DE COLETA DE RSU</t>
  </si>
  <si>
    <t>6. Preencha as células em amarelo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</si>
  <si>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</si>
  <si>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</si>
  <si>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</si>
  <si>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</si>
  <si>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</si>
  <si>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</si>
  <si>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</si>
  <si>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Fórmula de cálculo da remuneração de capital:</t>
  </si>
  <si>
    <t>Excluir esta linha caso a contratação não tenha previsão de horas extras 100% explícita no edital</t>
  </si>
  <si>
    <t>Excluir esta linha caso a contratação não tenha previsão de horas extras noturnas 100% explícita no edital</t>
  </si>
  <si>
    <t>Excluir esta linha caso a contratação não tenha previsão de horas extras 50% explícita no edital</t>
  </si>
  <si>
    <t>Excluir esta linha caso a contratação não tenha previsão de horas extras noturnas 50% explícita no edital</t>
  </si>
  <si>
    <t>Total por Motorista</t>
  </si>
  <si>
    <t>2. Na Especificação da Consulta, selecione "Demonstrativo por período" e informe as competências relativas ao período Inicial e Final (últimos 12 meses)</t>
  </si>
  <si>
    <t>Durabilidade (meses)</t>
  </si>
  <si>
    <t>Custo com consumos/km rodado</t>
  </si>
  <si>
    <t>Consumo</t>
  </si>
  <si>
    <t>Total por veículo</t>
  </si>
  <si>
    <t>Total da frota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</si>
  <si>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</si>
  <si>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</si>
  <si>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</si>
  <si>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</si>
  <si>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</si>
  <si>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</si>
  <si>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</si>
  <si>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</si>
  <si>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</si>
  <si>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</si>
  <si>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</si>
  <si>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</si>
  <si>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</si>
  <si>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</si>
  <si>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</si>
  <si>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</si>
  <si>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</si>
  <si>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</si>
  <si>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</si>
  <si>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Indicador</t>
  </si>
  <si>
    <t>Número total de percursos de coleta por veículo, por dia (Np)</t>
  </si>
  <si>
    <t>i</t>
  </si>
  <si>
    <t>3. Preencher somente células em amarelo</t>
  </si>
  <si>
    <t>Depreciação Média</t>
  </si>
  <si>
    <t>2. Dimensionar separadamente setores atendidos por veículos de capacidade de carga diferentes.</t>
  </si>
  <si>
    <t xml:space="preserve">1. Esta planilha é somente um modelo-base, devendo ser adaptada para cada caso concreto. </t>
  </si>
  <si>
    <t>Qualquer custo previsto no edital e não contemplado nesta planilha deverá ser devidamente incluído.</t>
  </si>
  <si>
    <t>4. As células azuis deverão ter seus valores preenchidos em outra planilha do arquivo.</t>
  </si>
  <si>
    <t>2. Antes de preenchê-la, leia a Orientação Técnica - Serviço de coleta de resíduos sólidos domiciliares</t>
  </si>
  <si>
    <t>Reincidência de FGTS sobre aviso prévio indenizado</t>
  </si>
  <si>
    <t>O orçamento deve ser realizado por responsável técnico habilitado e é de responsabilidade do seu autor.</t>
  </si>
  <si>
    <t>Piso da categoria (2)</t>
  </si>
  <si>
    <t>Salário mínimo nacional (1)</t>
  </si>
  <si>
    <t>O TCE/RS não se responsabiliza pelo uso incorreto desta planilha.</t>
  </si>
  <si>
    <t>% Demitidos s/ Justa Causa em relação ao Estoque Médio</t>
  </si>
  <si>
    <t>Taxa de Rotatividade</t>
  </si>
  <si>
    <t>Acordo</t>
  </si>
  <si>
    <t>Estoque recuperado início do Período 01-03-2018</t>
  </si>
  <si>
    <t>Estoque recuperado final do Período 28-02-2019</t>
  </si>
  <si>
    <t>Variação Emprego Absoluta de 01-03-2018 a 28-02-2019</t>
  </si>
  <si>
    <t xml:space="preserve">O orçamento deve ser realizado por responsável técnico habilitado e é de </t>
  </si>
  <si>
    <t>responsabilidade do seu autor.</t>
  </si>
  <si>
    <t>realizada nos últimos 12 meses</t>
  </si>
  <si>
    <t xml:space="preserve"> todos os turnos de trabalho.</t>
  </si>
  <si>
    <t>Obs:</t>
  </si>
  <si>
    <t>&gt; Informar a população do município a ser atendida</t>
  </si>
  <si>
    <t xml:space="preserve">&gt; Caso o município possua informações de pesagem, ajustar com o valor da geração média per capita </t>
  </si>
  <si>
    <t>&gt; Informe o número de dias de coleta por semana</t>
  </si>
  <si>
    <t xml:space="preserve">&gt; Informar 1 para caminhão toco; Informar 2 para caminhão truck </t>
  </si>
  <si>
    <t>&gt; Informar a capacidade do compactador em m³</t>
  </si>
  <si>
    <t>&gt; Informar o número de percursos de coleta (cargas) que cada caminhão realiza por dia, considerando</t>
  </si>
  <si>
    <t xml:space="preserve">O orçamento deve ser realizado por responsável técnico habilitado e é </t>
  </si>
  <si>
    <t>de responsabilidade do seu autor.</t>
  </si>
  <si>
    <t xml:space="preserve">O orçamento deve ser realizado por responsável técnico habilitado e </t>
  </si>
  <si>
    <t>é de responsabilidade do seu autor.</t>
  </si>
  <si>
    <t xml:space="preserve">Ordem </t>
  </si>
  <si>
    <t xml:space="preserve">Nr. Func. </t>
  </si>
  <si>
    <t xml:space="preserve">Cargo </t>
  </si>
  <si>
    <t xml:space="preserve">Dias </t>
  </si>
  <si>
    <t>Saída</t>
  </si>
  <si>
    <t xml:space="preserve">Total de horas por coletor </t>
  </si>
  <si>
    <t xml:space="preserve">Total de dias por semana </t>
  </si>
  <si>
    <t xml:space="preserve">Total de horas por semana </t>
  </si>
  <si>
    <t xml:space="preserve">Dias úteis semana </t>
  </si>
  <si>
    <t>Total de dias com (DSR) Descanso Semanal Remunerado</t>
  </si>
  <si>
    <t>Total de horas/dia com (DSR)</t>
  </si>
  <si>
    <t xml:space="preserve">Total de dias no mês (30 dias) </t>
  </si>
  <si>
    <t>Total geral de horas mês com (DSR)</t>
  </si>
  <si>
    <t xml:space="preserve">Total de horas por motorista </t>
  </si>
  <si>
    <t>Total geral de horas base mês com (DSR)</t>
  </si>
  <si>
    <t xml:space="preserve">Fator de utilização </t>
  </si>
  <si>
    <t>Distância</t>
  </si>
  <si>
    <t>Und.</t>
  </si>
  <si>
    <t>Cor Linha</t>
  </si>
  <si>
    <t>Ponto a Ponto</t>
  </si>
  <si>
    <t>m</t>
  </si>
  <si>
    <t>Trecho 01</t>
  </si>
  <si>
    <t>1 - 2</t>
  </si>
  <si>
    <t>Trecho 02</t>
  </si>
  <si>
    <t>2 - 3</t>
  </si>
  <si>
    <t>Trecho 03</t>
  </si>
  <si>
    <t>3 - 4</t>
  </si>
  <si>
    <t>Trecho 04</t>
  </si>
  <si>
    <t>4 - 5</t>
  </si>
  <si>
    <t>Trecho 05</t>
  </si>
  <si>
    <t>5 - 6</t>
  </si>
  <si>
    <t>Trecho 06</t>
  </si>
  <si>
    <t>6 - 7</t>
  </si>
  <si>
    <t>Trecho 07</t>
  </si>
  <si>
    <t>7 - 8</t>
  </si>
  <si>
    <t>Trecho 08</t>
  </si>
  <si>
    <t>Distância total da Rota:</t>
  </si>
  <si>
    <t>Dias da semana</t>
  </si>
  <si>
    <t>Nu. Coleta Semanal</t>
  </si>
  <si>
    <t>Trecho</t>
  </si>
  <si>
    <t>x</t>
  </si>
  <si>
    <t>Total Semanal</t>
  </si>
  <si>
    <t>Km</t>
  </si>
  <si>
    <t>Total Mensal</t>
  </si>
  <si>
    <t>8 - 9</t>
  </si>
  <si>
    <t xml:space="preserve">Cargo: Motorista da coleta do lixo orgânico </t>
  </si>
  <si>
    <t>Tributos - PIS/COFINS/ e CPP se houver</t>
  </si>
  <si>
    <t>3.1. Veículo Coletor com compactador</t>
  </si>
  <si>
    <t>Custo de aquisição do compactador</t>
  </si>
  <si>
    <t>Idade do chassis</t>
  </si>
  <si>
    <t>Depreciação mensal do chassis</t>
  </si>
  <si>
    <t>Encarregado</t>
  </si>
  <si>
    <t xml:space="preserve">Descrição </t>
  </si>
  <si>
    <t>IPCA</t>
  </si>
  <si>
    <t>Valor Atual</t>
  </si>
  <si>
    <t xml:space="preserve">Diferença </t>
  </si>
  <si>
    <t>Total Geral</t>
  </si>
  <si>
    <t xml:space="preserve">Toneladas Total </t>
  </si>
  <si>
    <t>Custo R$/Ton</t>
  </si>
  <si>
    <t>Resumo</t>
  </si>
  <si>
    <t xml:space="preserve">Admin. </t>
  </si>
  <si>
    <t>Encargos Soc.</t>
  </si>
  <si>
    <t xml:space="preserve">Total % </t>
  </si>
  <si>
    <t>Total Margem</t>
  </si>
  <si>
    <t>Publicidade (adesivos equipamentos e veículos)</t>
  </si>
  <si>
    <t xml:space="preserve">mês </t>
  </si>
  <si>
    <t xml:space="preserve">Publicidade/Educação ambiental </t>
  </si>
  <si>
    <t>Valor atual R$</t>
  </si>
  <si>
    <t xml:space="preserve">PO Novo </t>
  </si>
  <si>
    <t>Diferença %</t>
  </si>
  <si>
    <t>Fator de util.</t>
  </si>
  <si>
    <t xml:space="preserve">Plano de Benefício Social </t>
  </si>
  <si>
    <t>ROTAS DE COLETA</t>
  </si>
  <si>
    <t xml:space="preserve">Total dos percursos Orgânicos </t>
  </si>
  <si>
    <t>Rota</t>
  </si>
  <si>
    <t>Distância: Coleta +  Transporte</t>
  </si>
  <si>
    <t>Rota 1</t>
  </si>
  <si>
    <t>Distância total diária:</t>
  </si>
  <si>
    <t xml:space="preserve">Composição dos Encargos Sociais </t>
  </si>
  <si>
    <t>6. CAGED</t>
  </si>
  <si>
    <t>Composição do BDI - Benefícios e Despesas Indiretas</t>
  </si>
  <si>
    <t>Depreciação Referencial TCE/RS (%)</t>
  </si>
  <si>
    <t>Remuneração de Capital</t>
  </si>
  <si>
    <t>Dimensionamento da frota</t>
  </si>
  <si>
    <t xml:space="preserve">Custo do jogo de pneus </t>
  </si>
  <si>
    <t xml:space="preserve">Custo mensal com Arla </t>
  </si>
  <si>
    <t>Custo de arla (5% do consumo de Óleo Diesel)</t>
  </si>
  <si>
    <t xml:space="preserve">Investimento médio total </t>
  </si>
  <si>
    <t xml:space="preserve">Remuneração mensal de capital </t>
  </si>
  <si>
    <t xml:space="preserve"> TOTAL = ROTAS DE COLETA + TRANSPORTE </t>
  </si>
  <si>
    <t xml:space="preserve">TOTAL MENSAL = ROTAS DE COLETA + TRANSPORTE </t>
  </si>
  <si>
    <t>Frota Reserva 10%</t>
  </si>
  <si>
    <t>Horas/dia</t>
  </si>
  <si>
    <t>Total por Encarregado</t>
  </si>
  <si>
    <t>Orgânica</t>
  </si>
  <si>
    <t xml:space="preserve">Coleta </t>
  </si>
  <si>
    <t>Seletiva</t>
  </si>
  <si>
    <t>Custo com despesas de água/luz/fone/internet</t>
  </si>
  <si>
    <t>Aluguel de um galpão mensal</t>
  </si>
  <si>
    <t xml:space="preserve">Serviços de limpeza do galpão mensal </t>
  </si>
  <si>
    <t xml:space="preserve">Custo mensal com veículo de apoio </t>
  </si>
  <si>
    <t xml:space="preserve">5. Administração Local </t>
  </si>
  <si>
    <t>6. Monitoramento da Frota</t>
  </si>
  <si>
    <t>7. Benefícios e Despesas Indiretas - BDI</t>
  </si>
  <si>
    <t xml:space="preserve">Total Atual </t>
  </si>
  <si>
    <t xml:space="preserve">Valor atualizado </t>
  </si>
  <si>
    <t xml:space="preserve">4. Ferramentas, Materiais de Consumo </t>
  </si>
  <si>
    <t>1.4. Vale Transporte</t>
  </si>
  <si>
    <t>1.5. Vale-refeição (diário)</t>
  </si>
  <si>
    <t>1.6. Auxílio Alimentação (mensal)</t>
  </si>
  <si>
    <t xml:space="preserve">1.7. Plano de Benefício Social  </t>
  </si>
  <si>
    <t xml:space="preserve">Coletor </t>
  </si>
  <si>
    <t>Planilha com os horários dos funcionários coleta de resíduos orgânicos e seletivos</t>
  </si>
  <si>
    <t>1. Esta planilha é somente um modelo-base. Qualquer custo previsto no edital e não contemplado nesta planilha deverá ser devidamente incluído</t>
  </si>
  <si>
    <t>3. As células azuis deverão ter seus valores preenchidos em outra planilha do arquivo.</t>
  </si>
  <si>
    <t xml:space="preserve">Destinação Final </t>
  </si>
  <si>
    <t xml:space="preserve">Ton. </t>
  </si>
  <si>
    <t>Custo Mensal com Destinação Final (R$/mês)</t>
  </si>
  <si>
    <t xml:space="preserve">Preço total por Ton em reais </t>
  </si>
  <si>
    <t xml:space="preserve">1. Destinação final </t>
  </si>
  <si>
    <t xml:space="preserve">Destino Final </t>
  </si>
  <si>
    <t>PREÇO TOTAL MENSAL COM O DESTINO FINAL</t>
  </si>
  <si>
    <t>Valores R$</t>
  </si>
  <si>
    <t xml:space="preserve">Bermuda com reflexivo </t>
  </si>
  <si>
    <t xml:space="preserve">Camiseta manga curta com reflexivo </t>
  </si>
  <si>
    <t>Hrs/se-mana</t>
  </si>
  <si>
    <t xml:space="preserve">Cargo: Coletor de resíduos orgânicos </t>
  </si>
  <si>
    <t xml:space="preserve">Total de horas </t>
  </si>
  <si>
    <t xml:space="preserve">Piso da categoria </t>
  </si>
  <si>
    <t xml:space="preserve">Lavagem dos caminhões compactadores </t>
  </si>
  <si>
    <t>2. Benefícios e Despesas Indiretas - BDI</t>
  </si>
  <si>
    <t xml:space="preserve">Resumo Custo Edital Coleta de Resíduos Sólidos </t>
  </si>
  <si>
    <t>Rota 2</t>
  </si>
  <si>
    <t>Terça</t>
  </si>
  <si>
    <t>Coleta Rota 2</t>
  </si>
  <si>
    <t xml:space="preserve">4. Destino Final </t>
  </si>
  <si>
    <t xml:space="preserve">1. Coleta e Transportes de Resíduos Orgânicos </t>
  </si>
  <si>
    <t>Obs: Salário do motorista conforme Convenção Coletiva (Sinecarga 2021/2023)</t>
  </si>
  <si>
    <t xml:space="preserve">2. Coleta e Transportes de Resíduos Seletivos </t>
  </si>
  <si>
    <t xml:space="preserve">Transporte </t>
  </si>
  <si>
    <t xml:space="preserve">3. Transporte de Rejeitos ao Destino Final </t>
  </si>
  <si>
    <t>1.3. Motorista Turno do Dia</t>
  </si>
  <si>
    <t>Piso da categoria (1)</t>
  </si>
  <si>
    <t>Salário mínimo nacional (2)</t>
  </si>
  <si>
    <t>1.4. Encarregado</t>
  </si>
  <si>
    <t>1.5. Vale Transporte</t>
  </si>
  <si>
    <t xml:space="preserve">Botina de segurança </t>
  </si>
  <si>
    <t>Higienização de uniformes e EPIs</t>
  </si>
  <si>
    <t>R$ mensal</t>
  </si>
  <si>
    <r>
      <t>3.1. Veículo Carreta Basculante</t>
    </r>
    <r>
      <rPr>
        <sz val="10"/>
        <color indexed="10"/>
        <rFont val="Arial"/>
        <family val="2"/>
      </rPr>
      <t xml:space="preserve"> xx</t>
    </r>
    <r>
      <rPr>
        <sz val="10"/>
        <rFont val="Arial"/>
        <family val="2"/>
      </rPr>
      <t xml:space="preserve"> m³</t>
    </r>
  </si>
  <si>
    <t xml:space="preserve">Depreciação mensal veículos </t>
  </si>
  <si>
    <t>Custo de aquisição da caçamba</t>
  </si>
  <si>
    <t xml:space="preserve">Vida útil </t>
  </si>
  <si>
    <t>Idade da caçamba</t>
  </si>
  <si>
    <t>Depreciação da caçamba</t>
  </si>
  <si>
    <t>Depreciação mensal da caçamba</t>
  </si>
  <si>
    <t>Custo da caçamba</t>
  </si>
  <si>
    <t>Investimento médio total da caçamba</t>
  </si>
  <si>
    <t>Remuneração mensal de capital da caçamba</t>
  </si>
  <si>
    <t>Custo do jogo de pneus xxx/xx Rxx</t>
  </si>
  <si>
    <t xml:space="preserve">4. Destinação final </t>
  </si>
  <si>
    <t>5. Benefícios e Despesas Indiretas - BDI</t>
  </si>
  <si>
    <t xml:space="preserve">Coleta seletiva </t>
  </si>
  <si>
    <t>Coleta orgânica</t>
  </si>
  <si>
    <t>Rota 3</t>
  </si>
  <si>
    <t>Coleta Rota 3</t>
  </si>
  <si>
    <t>Trecho 09</t>
  </si>
  <si>
    <t>9 - 10</t>
  </si>
  <si>
    <t>Cargo: Coletor de resíduos seletivos e interior</t>
  </si>
  <si>
    <t xml:space="preserve">Cargo: motorista de resíduos seletivos e interior </t>
  </si>
  <si>
    <t>Cargo: motorista de carreta</t>
  </si>
  <si>
    <t>Valor da caçamba proposto (V0)</t>
  </si>
  <si>
    <t xml:space="preserve">Total Geral toneladas por mês </t>
  </si>
  <si>
    <t>Equipamentos</t>
  </si>
  <si>
    <t>Total de Contentores</t>
  </si>
  <si>
    <t xml:space="preserve">1. Contentores </t>
  </si>
  <si>
    <t>1.1.1. Depreciação</t>
  </si>
  <si>
    <t xml:space="preserve">Custo de aquisição dos contentores </t>
  </si>
  <si>
    <t xml:space="preserve">Vida útil do contentor </t>
  </si>
  <si>
    <t xml:space="preserve">Idade do contentor </t>
  </si>
  <si>
    <t>Depreciação do contentor</t>
  </si>
  <si>
    <t xml:space="preserve">Depreciação mensal contentor </t>
  </si>
  <si>
    <t xml:space="preserve">Total </t>
  </si>
  <si>
    <t>1.1.2. Remuneração do Capital</t>
  </si>
  <si>
    <t>Custo dos contentores</t>
  </si>
  <si>
    <t>Valor do container proposto (V0)</t>
  </si>
  <si>
    <t xml:space="preserve">Investimento médio total dos contentores </t>
  </si>
  <si>
    <t>Remuneração mensal de capital dos contentores</t>
  </si>
  <si>
    <t>Custo mensal com manutenção, reposição e materiais</t>
  </si>
  <si>
    <t>Custo Total mês c/manutenção, reposição e materiais</t>
  </si>
  <si>
    <t xml:space="preserve">Quantidade de contentores mês: </t>
  </si>
  <si>
    <t>unidades</t>
  </si>
  <si>
    <t>PREÇO POR CONTAINER:  [A/B]</t>
  </si>
  <si>
    <t>R$/UNIDADE</t>
  </si>
  <si>
    <t xml:space="preserve">Custo Unitário por contentor </t>
  </si>
  <si>
    <t xml:space="preserve">Higiênização de Contentores </t>
  </si>
  <si>
    <t xml:space="preserve">Custo mensal com lavagem de contentores </t>
  </si>
  <si>
    <t xml:space="preserve">Custo de lavagem </t>
  </si>
  <si>
    <t>Prefeitura Municipal de Tapejara</t>
  </si>
  <si>
    <t xml:space="preserve">Prefeitura Municipal de Tapejara </t>
  </si>
  <si>
    <t>Rota 1  - Coleta de Resíduos Domiciliares - Orgânicos e Seletivos</t>
  </si>
  <si>
    <t xml:space="preserve">Resumo do Percurso - Coleta de Resíduos Domiciliares - Orgânico e Seletivo </t>
  </si>
  <si>
    <t>Locais de coleta:  Região sul e oeste da cidade</t>
  </si>
  <si>
    <t xml:space="preserve">Coleta Rota 1 </t>
  </si>
  <si>
    <t>Garagem - Início da Rota 1</t>
  </si>
  <si>
    <t>Início da Rota 1 - Final da Rota 1</t>
  </si>
  <si>
    <t>Segunda e quinta</t>
  </si>
  <si>
    <t xml:space="preserve">Final da rota 1 - Centro de Triagem </t>
  </si>
  <si>
    <t>Centro de Triagem - Garagem</t>
  </si>
  <si>
    <t>Garagem - Início da Rota 2</t>
  </si>
  <si>
    <t>Início da Rota 2 - Final da Rota 2</t>
  </si>
  <si>
    <t xml:space="preserve">Final da rota 2 - Centro de Triagem </t>
  </si>
  <si>
    <t>Rota 4</t>
  </si>
  <si>
    <t>Garagem - Início da Rota 3</t>
  </si>
  <si>
    <t>Rota 2  - Coleta de Resíduos Domiciliares - Orgânicos e Seletivos</t>
  </si>
  <si>
    <t>Início da Rota 3 - Final da Rota 3</t>
  </si>
  <si>
    <t>Total dos percursos Seletivos</t>
  </si>
  <si>
    <t xml:space="preserve">Final da rota 3 - Centro de Triagem </t>
  </si>
  <si>
    <t>Coleta Rota 4</t>
  </si>
  <si>
    <t>Garagem - Início da Rota 4</t>
  </si>
  <si>
    <t>Sexta</t>
  </si>
  <si>
    <t>Início da Rota 4 - Final da Rota 4</t>
  </si>
  <si>
    <t xml:space="preserve">Final da rota 4 - Centro de Triagem </t>
  </si>
  <si>
    <t>Rota 3  - Coleta de Resíduos Domiciliares -  Orgânicos e Seletivos</t>
  </si>
  <si>
    <t>Locais de coleta:  Região norte e leste da cidade</t>
  </si>
  <si>
    <t>Rota 4  - Coleta de Resíduos Domiciliares - Orgânicos e Seletivos</t>
  </si>
  <si>
    <t>DISTÂNCIA ATÉ O ATERRO SANITÁRIO</t>
  </si>
  <si>
    <t>Percurso</t>
  </si>
  <si>
    <t>Sentido</t>
  </si>
  <si>
    <t>Centro de Triagem - Aterro Sanitário</t>
  </si>
  <si>
    <t>Ida</t>
  </si>
  <si>
    <t>Volta</t>
  </si>
  <si>
    <t>Total</t>
  </si>
  <si>
    <t xml:space="preserve">Quantidade de viagens mensais: </t>
  </si>
  <si>
    <t xml:space="preserve">Quilometragem total mensal : </t>
  </si>
  <si>
    <t xml:space="preserve">Terça </t>
  </si>
  <si>
    <t>Rota 2 e 4</t>
  </si>
  <si>
    <t xml:space="preserve">Rota 1 e 3 </t>
  </si>
  <si>
    <t xml:space="preserve">Transp. até Aterro Sanitário </t>
  </si>
  <si>
    <t>Rota Transporte</t>
  </si>
  <si>
    <t xml:space="preserve">Obs: Convenção Coletiva (Sind. ASSEIO 2022).  </t>
  </si>
  <si>
    <t>Aluguel, manutenção e higiênização de Contentores</t>
  </si>
  <si>
    <t xml:space="preserve">PREÇO TOTAL MENSAL COM ALUGUEL, MANUTENÇÃO E HIGIÊNIZAÇÃO </t>
  </si>
  <si>
    <t>Periodicidade: Segunda a sábado</t>
  </si>
  <si>
    <t>Tolenadas de lixo coletados</t>
  </si>
  <si>
    <t>Período: (Dez/2020 a Nov/2021)</t>
  </si>
  <si>
    <t>Toneladas coletadas e enviadas ao centro de triagem</t>
  </si>
  <si>
    <t>Mês/ano</t>
  </si>
  <si>
    <t xml:space="preserve">Toneladas </t>
  </si>
  <si>
    <t>Total Geral Coletadas</t>
  </si>
  <si>
    <t xml:space="preserve">Nr. de meses </t>
  </si>
  <si>
    <t xml:space="preserve">Quantidade média mensal </t>
  </si>
  <si>
    <t xml:space="preserve">Botina de segurança c/ palmilha aço ou tênis </t>
  </si>
  <si>
    <t>Botina de segurança c/ palmilha aço, ou tenis</t>
  </si>
  <si>
    <t>Botina de segurança, ou tenis</t>
  </si>
  <si>
    <t>1.2. Encarregado/Supervisor</t>
  </si>
  <si>
    <t xml:space="preserve">Obs: previsto 04 horas semanais </t>
  </si>
  <si>
    <t xml:space="preserve">3. Transbordo dos resíduos </t>
  </si>
  <si>
    <t>PREÇO TOTAL MENSAL COM O TANSBORDO</t>
  </si>
  <si>
    <t>1.2 Assistente Administrativo/ Encarregado</t>
  </si>
  <si>
    <t>1.1. Triador</t>
  </si>
  <si>
    <t>Total por Triador</t>
  </si>
  <si>
    <t>Total por Assistente Administrativo</t>
  </si>
  <si>
    <t>1.2. Vale Transporte</t>
  </si>
  <si>
    <t xml:space="preserve">Assistente </t>
  </si>
  <si>
    <t xml:space="preserve">1.4. Plano de Benefício Social  </t>
  </si>
  <si>
    <t>1. Custo Mensal com Mão-de-obra</t>
  </si>
  <si>
    <t xml:space="preserve">2.1. Uniformes e EPIs para Assistente </t>
  </si>
  <si>
    <t>Botina de segurança c/ palmilha aço</t>
  </si>
  <si>
    <t>Máscara de proteção</t>
  </si>
  <si>
    <t>Óculos de proteção</t>
  </si>
  <si>
    <t>2. Custo Mensal com Uniformes e EPIs</t>
  </si>
  <si>
    <t xml:space="preserve">3. Máquinas, equipamentos e instalações e Administração Local </t>
  </si>
  <si>
    <t>H/Mês</t>
  </si>
  <si>
    <t>Locação e manutenção do Prédio</t>
  </si>
  <si>
    <t>Mês</t>
  </si>
  <si>
    <t>3. Custo Mensal com máquinas e equipamentos e instalações</t>
  </si>
  <si>
    <t>CUSTO TOTAL MENSAL COM DESPESAS OPERACIONAIS</t>
  </si>
  <si>
    <t>4. Benefícios e Despesas Indiretas</t>
  </si>
  <si>
    <t xml:space="preserve">CUSTO MENSAL </t>
  </si>
  <si>
    <t>PREÇO MENSAL TOTAL</t>
  </si>
  <si>
    <t xml:space="preserve">Transbordo </t>
  </si>
  <si>
    <t>1.1. Assistente Administrativo/ Encarregado - CBO 4110</t>
  </si>
  <si>
    <t>1.2. Vale-refeição (diário)</t>
  </si>
  <si>
    <t>Retroescavadeira (1 hrs/dia), c/operador e óleo diesel</t>
  </si>
  <si>
    <t xml:space="preserve">Camiseta manga longa com reflexivo </t>
  </si>
  <si>
    <t>1.1. Motorista Turno do Dia</t>
  </si>
  <si>
    <t>1.3. Auxílio Alimentação (mensal)</t>
  </si>
  <si>
    <t xml:space="preserve">Entra-da </t>
  </si>
  <si>
    <t xml:space="preserve">  </t>
  </si>
  <si>
    <t xml:space="preserve">2,5 vezes por semana </t>
  </si>
  <si>
    <t>PREFEITURA MUNICIPAL DE TAPEJARA</t>
  </si>
  <si>
    <t>Total Geral Reciclado por mês 20%</t>
  </si>
  <si>
    <t xml:space="preserve">(previsão de 05 horas/semana) (Convenção Coletiva Asseio 2022) </t>
  </si>
  <si>
    <t>Rota 5  - Coleta de Resíduos Domiciliares - Orgânicos e Seletivos</t>
  </si>
  <si>
    <t>Locais de coleta:  Região central da cidade</t>
  </si>
  <si>
    <t>Coleta Rota 5</t>
  </si>
  <si>
    <t>Garagem - Início da Rota 5</t>
  </si>
  <si>
    <t xml:space="preserve">Final da rota 5 - Centro de Triagem </t>
  </si>
  <si>
    <t>Início da Rota 5 - Final da Rota 5</t>
  </si>
  <si>
    <t>Rota 5</t>
  </si>
  <si>
    <t>Segunda, Quarta, Quinta e Sábado</t>
  </si>
  <si>
    <t>Quarta e Sábado</t>
  </si>
  <si>
    <t>Terça e Sexta</t>
  </si>
  <si>
    <t xml:space="preserve">Orgânica </t>
  </si>
  <si>
    <t>Segunda, quarta, quinta e sábado</t>
  </si>
  <si>
    <t xml:space="preserve">Terça e sexta </t>
  </si>
  <si>
    <t xml:space="preserve">1.2. Coletor Turno Dia </t>
  </si>
  <si>
    <t xml:space="preserve">1.3. Motorista Turno do dia </t>
  </si>
  <si>
    <t>Quarta e sábado</t>
  </si>
  <si>
    <t>4. Monitoramento da Frota</t>
  </si>
  <si>
    <t>População (H) IBGE 2022</t>
  </si>
  <si>
    <t xml:space="preserve">1.1.3  Lavagem e manutenção dos contentores </t>
  </si>
  <si>
    <t xml:space="preserve">Custo de aquisição do compactador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</si>
</sst>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.0_-;\-* #,##0.0_-;_-* &quot;-&quot;??_-;_-@_-"/>
    <numFmt numFmtId="173" formatCode="_ * #,##0.00_ ;_ * \-#,##0.00_ ;_ * &quot;-&quot;??_ ;_ @_ "/>
    <numFmt numFmtId="174" formatCode="_(* #,##0.0000_);_(* \(#,##0.0000\);_(* &quot;-&quot;??_);_(@_)"/>
    <numFmt numFmtId="175" formatCode="0.0"/>
    <numFmt numFmtId="176" formatCode="0.000"/>
    <numFmt numFmtId="177" formatCode="_(* #,##0.0000000_);_(* \(#,##0.0000000\);_(* &quot;-&quot;??_);_(@_)"/>
    <numFmt numFmtId="178" formatCode="_-* #,##0_-;\-* #,##0_-;_-* &quot;-&quot;??_-;_-@_-"/>
    <numFmt numFmtId="179" formatCode="_-* #,##0.0000_-;\-* #,##0.0000_-;_-* &quot;-&quot;????_-;_-@_-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sz val="10"/>
      <color rgb="FFFF0000"/>
      <name val="Arial"/>
      <family val="2"/>
    </font>
    <font>
      <sz val="10"/>
      <name val="Tahoma"/>
      <family val="2"/>
    </font>
    <font>
      <sz val="12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1"/>
      <name val="Times New Roman"/>
      <family val="1"/>
    </font>
    <font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8">
    <xf numFmtId="0" fontId="0" fillId="0" borderId="0"/>
    <xf numFmtId="0" fontId="39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44" fontId="32" fillId="0" borderId="0" applyFont="0" applyFill="0" applyBorder="0" applyAlignment="0" applyProtection="0"/>
    <xf numFmtId="172" fontId="60" fillId="0" borderId="0" applyFont="0" applyFill="0" applyBorder="0" applyAlignment="0" applyProtection="0"/>
    <xf numFmtId="0" fontId="31" fillId="0" borderId="0"/>
    <xf numFmtId="0" fontId="32" fillId="0" borderId="0"/>
    <xf numFmtId="0" fontId="60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60" fillId="0" borderId="0" applyFont="0" applyFill="0" applyBorder="0" applyAlignment="0" applyProtection="0"/>
    <xf numFmtId="9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2" fillId="0" borderId="0" applyFont="0" applyFill="0" applyBorder="0" applyAlignment="0" applyProtection="0"/>
    <xf numFmtId="0" fontId="30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3" fillId="0" borderId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4" fontId="32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</cellStyleXfs>
  <cellXfs count="830">
    <xf numFmtId="0" fontId="0" fillId="0" borderId="0" xfId="0"/>
    <xf numFmtId="0" fontId="37" fillId="0" borderId="0" xfId="0" applyFont="1"/>
    <xf numFmtId="0" fontId="37" fillId="0" borderId="1" xfId="0" applyFont="1" applyBorder="1"/>
    <xf numFmtId="0" fontId="37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65" fontId="37" fillId="0" borderId="0" xfId="3" applyFont="1" applyAlignment="1">
      <alignment vertical="center"/>
    </xf>
    <xf numFmtId="0" fontId="3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7" fillId="0" borderId="2" xfId="0" applyFont="1" applyBorder="1" applyAlignment="1">
      <alignment vertical="center"/>
    </xf>
    <xf numFmtId="0" fontId="37" fillId="0" borderId="2" xfId="0" applyFont="1" applyBorder="1" applyAlignment="1">
      <alignment horizontal="center" vertical="center"/>
    </xf>
    <xf numFmtId="165" fontId="37" fillId="0" borderId="2" xfId="3" applyFont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37" fillId="0" borderId="1" xfId="0" applyFont="1" applyBorder="1" applyAlignment="1">
      <alignment horizontal="center" vertical="center"/>
    </xf>
    <xf numFmtId="165" fontId="37" fillId="0" borderId="1" xfId="3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5" fontId="37" fillId="0" borderId="0" xfId="3" applyFont="1" applyAlignment="1">
      <alignment horizontal="center" vertical="center"/>
    </xf>
    <xf numFmtId="165" fontId="34" fillId="2" borderId="4" xfId="3" applyFont="1" applyFill="1" applyBorder="1" applyAlignment="1">
      <alignment horizontal="center" vertical="center"/>
    </xf>
    <xf numFmtId="165" fontId="34" fillId="2" borderId="4" xfId="3" applyFont="1" applyFill="1" applyBorder="1" applyAlignment="1">
      <alignment vertical="center"/>
    </xf>
    <xf numFmtId="165" fontId="34" fillId="0" borderId="0" xfId="3" applyFont="1" applyFill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34" fillId="0" borderId="6" xfId="0" applyFont="1" applyBorder="1" applyAlignment="1">
      <alignment vertical="center"/>
    </xf>
    <xf numFmtId="165" fontId="34" fillId="0" borderId="6" xfId="3" applyFont="1" applyBorder="1" applyAlignment="1">
      <alignment vertical="center"/>
    </xf>
    <xf numFmtId="165" fontId="34" fillId="0" borderId="7" xfId="3" applyFont="1" applyBorder="1" applyAlignment="1">
      <alignment vertical="center"/>
    </xf>
    <xf numFmtId="0" fontId="37" fillId="0" borderId="6" xfId="0" applyFont="1" applyBorder="1" applyAlignment="1">
      <alignment vertical="center"/>
    </xf>
    <xf numFmtId="165" fontId="37" fillId="0" borderId="6" xfId="3" applyFont="1" applyBorder="1" applyAlignment="1">
      <alignment vertical="center"/>
    </xf>
    <xf numFmtId="165" fontId="37" fillId="0" borderId="7" xfId="3" applyFont="1" applyBorder="1" applyAlignment="1">
      <alignment vertical="center"/>
    </xf>
    <xf numFmtId="165" fontId="34" fillId="0" borderId="0" xfId="3" applyFont="1" applyBorder="1" applyAlignment="1">
      <alignment horizontal="center" vertical="center"/>
    </xf>
    <xf numFmtId="3" fontId="37" fillId="0" borderId="0" xfId="0" applyNumberFormat="1" applyFont="1" applyAlignment="1">
      <alignment vertical="center"/>
    </xf>
    <xf numFmtId="165" fontId="34" fillId="0" borderId="0" xfId="3" applyFont="1" applyFill="1" applyBorder="1" applyAlignment="1">
      <alignment horizontal="center" vertical="center"/>
    </xf>
    <xf numFmtId="165" fontId="34" fillId="0" borderId="0" xfId="3" applyFont="1" applyBorder="1" applyAlignment="1">
      <alignment vertical="center"/>
    </xf>
    <xf numFmtId="165" fontId="36" fillId="0" borderId="0" xfId="3" applyFont="1" applyAlignment="1">
      <alignment vertical="center"/>
    </xf>
    <xf numFmtId="166" fontId="37" fillId="0" borderId="1" xfId="3" applyNumberFormat="1" applyFont="1" applyBorder="1" applyAlignment="1">
      <alignment vertical="center"/>
    </xf>
    <xf numFmtId="165" fontId="37" fillId="0" borderId="0" xfId="3" applyFont="1"/>
    <xf numFmtId="165" fontId="35" fillId="0" borderId="0" xfId="3" applyFont="1" applyAlignment="1">
      <alignment vertical="center"/>
    </xf>
    <xf numFmtId="165" fontId="0" fillId="0" borderId="11" xfId="3" applyFont="1" applyBorder="1" applyAlignment="1">
      <alignment vertical="center"/>
    </xf>
    <xf numFmtId="165" fontId="34" fillId="0" borderId="12" xfId="3" applyFont="1" applyBorder="1" applyAlignment="1">
      <alignment horizontal="center" vertical="center"/>
    </xf>
    <xf numFmtId="165" fontId="34" fillId="0" borderId="5" xfId="3" applyFont="1" applyBorder="1" applyAlignment="1">
      <alignment horizontal="left" vertical="center"/>
    </xf>
    <xf numFmtId="4" fontId="34" fillId="0" borderId="6" xfId="0" applyNumberFormat="1" applyFont="1" applyBorder="1" applyAlignment="1">
      <alignment horizontal="centerContinuous" vertical="center"/>
    </xf>
    <xf numFmtId="165" fontId="34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34" fillId="0" borderId="13" xfId="3" applyFont="1" applyBorder="1" applyAlignment="1">
      <alignment horizontal="right" vertical="center"/>
    </xf>
    <xf numFmtId="165" fontId="0" fillId="0" borderId="14" xfId="3" applyFont="1" applyBorder="1" applyAlignment="1">
      <alignment vertical="center"/>
    </xf>
    <xf numFmtId="165" fontId="37" fillId="0" borderId="1" xfId="3" applyFont="1" applyBorder="1" applyAlignment="1">
      <alignment vertical="center"/>
    </xf>
    <xf numFmtId="0" fontId="42" fillId="0" borderId="0" xfId="0" applyFont="1" applyAlignment="1">
      <alignment vertical="center"/>
    </xf>
    <xf numFmtId="0" fontId="41" fillId="0" borderId="1" xfId="0" applyFont="1" applyBorder="1" applyAlignment="1">
      <alignment horizontal="center" vertical="center"/>
    </xf>
    <xf numFmtId="165" fontId="37" fillId="0" borderId="0" xfId="3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165" fontId="35" fillId="0" borderId="0" xfId="3" applyFont="1" applyBorder="1" applyAlignment="1">
      <alignment vertical="center"/>
    </xf>
    <xf numFmtId="10" fontId="0" fillId="0" borderId="15" xfId="2" applyNumberFormat="1" applyFont="1" applyBorder="1" applyAlignment="1">
      <alignment vertical="center"/>
    </xf>
    <xf numFmtId="165" fontId="37" fillId="0" borderId="0" xfId="3" applyFont="1" applyBorder="1" applyAlignment="1">
      <alignment vertical="center"/>
    </xf>
    <xf numFmtId="0" fontId="44" fillId="2" borderId="16" xfId="0" applyFont="1" applyFill="1" applyBorder="1" applyAlignment="1">
      <alignment horizontal="center" vertical="center"/>
    </xf>
    <xf numFmtId="0" fontId="44" fillId="2" borderId="17" xfId="0" applyFont="1" applyFill="1" applyBorder="1" applyAlignment="1">
      <alignment horizontal="center" vertical="center"/>
    </xf>
    <xf numFmtId="165" fontId="44" fillId="2" borderId="17" xfId="3" applyFont="1" applyFill="1" applyBorder="1" applyAlignment="1">
      <alignment horizontal="center" vertical="center"/>
    </xf>
    <xf numFmtId="165" fontId="44" fillId="2" borderId="18" xfId="3" applyFont="1" applyFill="1" applyBorder="1" applyAlignment="1">
      <alignment horizontal="center" vertical="center"/>
    </xf>
    <xf numFmtId="165" fontId="34" fillId="0" borderId="19" xfId="3" applyFont="1" applyBorder="1" applyAlignment="1">
      <alignment horizontal="center" vertical="center"/>
    </xf>
    <xf numFmtId="165" fontId="32" fillId="0" borderId="14" xfId="3" applyFont="1" applyBorder="1" applyAlignment="1">
      <alignment horizontal="left" vertical="center"/>
    </xf>
    <xf numFmtId="165" fontId="37" fillId="0" borderId="9" xfId="3" applyFont="1" applyBorder="1" applyAlignment="1">
      <alignment vertical="center"/>
    </xf>
    <xf numFmtId="165" fontId="37" fillId="0" borderId="14" xfId="3" applyFont="1" applyBorder="1" applyAlignment="1">
      <alignment vertical="center"/>
    </xf>
    <xf numFmtId="166" fontId="37" fillId="0" borderId="0" xfId="3" applyNumberFormat="1" applyFont="1" applyBorder="1" applyAlignment="1">
      <alignment horizontal="center" vertical="center"/>
    </xf>
    <xf numFmtId="1" fontId="37" fillId="0" borderId="1" xfId="0" applyNumberFormat="1" applyFont="1" applyBorder="1" applyAlignment="1">
      <alignment horizontal="center" vertical="center"/>
    </xf>
    <xf numFmtId="1" fontId="37" fillId="0" borderId="20" xfId="3" applyNumberFormat="1" applyFont="1" applyBorder="1" applyAlignment="1">
      <alignment horizontal="center" vertical="center"/>
    </xf>
    <xf numFmtId="165" fontId="34" fillId="0" borderId="28" xfId="3" applyFont="1" applyBorder="1" applyAlignment="1">
      <alignment vertical="center"/>
    </xf>
    <xf numFmtId="4" fontId="34" fillId="0" borderId="29" xfId="0" applyNumberFormat="1" applyFont="1" applyBorder="1" applyAlignment="1">
      <alignment vertical="center"/>
    </xf>
    <xf numFmtId="165" fontId="37" fillId="0" borderId="19" xfId="3" applyFont="1" applyBorder="1" applyAlignment="1">
      <alignment vertical="center"/>
    </xf>
    <xf numFmtId="165" fontId="37" fillId="0" borderId="11" xfId="3" applyFont="1" applyBorder="1" applyAlignment="1">
      <alignment vertical="center"/>
    </xf>
    <xf numFmtId="0" fontId="0" fillId="0" borderId="11" xfId="0" applyBorder="1" applyAlignment="1">
      <alignment vertical="center"/>
    </xf>
    <xf numFmtId="1" fontId="37" fillId="0" borderId="12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1" fontId="34" fillId="0" borderId="31" xfId="3" applyNumberFormat="1" applyFont="1" applyBorder="1" applyAlignment="1">
      <alignment horizontal="center" vertical="center"/>
    </xf>
    <xf numFmtId="165" fontId="43" fillId="0" borderId="1" xfId="3" applyFont="1" applyBorder="1" applyAlignment="1">
      <alignment horizontal="center" vertical="center"/>
    </xf>
    <xf numFmtId="165" fontId="37" fillId="0" borderId="1" xfId="3" applyFont="1" applyFill="1" applyBorder="1" applyAlignment="1">
      <alignment horizontal="center" vertical="center"/>
    </xf>
    <xf numFmtId="165" fontId="42" fillId="0" borderId="0" xfId="3" applyFont="1" applyAlignment="1">
      <alignment vertical="center"/>
    </xf>
    <xf numFmtId="43" fontId="37" fillId="0" borderId="0" xfId="0" applyNumberFormat="1" applyFont="1" applyAlignment="1">
      <alignment vertical="center"/>
    </xf>
    <xf numFmtId="0" fontId="37" fillId="3" borderId="1" xfId="0" applyFont="1" applyFill="1" applyBorder="1" applyAlignment="1">
      <alignment horizontal="center" vertical="center"/>
    </xf>
    <xf numFmtId="165" fontId="37" fillId="3" borderId="2" xfId="3" applyFont="1" applyFill="1" applyBorder="1" applyAlignment="1">
      <alignment horizontal="center" vertical="center"/>
    </xf>
    <xf numFmtId="2" fontId="37" fillId="3" borderId="1" xfId="0" applyNumberFormat="1" applyFont="1" applyFill="1" applyBorder="1" applyAlignment="1">
      <alignment horizontal="center" vertical="center"/>
    </xf>
    <xf numFmtId="165" fontId="37" fillId="3" borderId="1" xfId="3" applyFont="1" applyFill="1" applyBorder="1" applyAlignment="1">
      <alignment horizontal="center" vertical="center"/>
    </xf>
    <xf numFmtId="1" fontId="37" fillId="3" borderId="1" xfId="0" applyNumberFormat="1" applyFont="1" applyFill="1" applyBorder="1" applyAlignment="1">
      <alignment horizontal="center" vertical="center"/>
    </xf>
    <xf numFmtId="0" fontId="37" fillId="3" borderId="0" xfId="0" applyFont="1" applyFill="1" applyAlignment="1">
      <alignment vertical="center"/>
    </xf>
    <xf numFmtId="165" fontId="37" fillId="3" borderId="0" xfId="3" applyFont="1" applyFill="1" applyAlignment="1">
      <alignment vertical="center"/>
    </xf>
    <xf numFmtId="0" fontId="37" fillId="0" borderId="0" xfId="0" applyFont="1" applyAlignment="1">
      <alignment horizontal="right" vertical="center"/>
    </xf>
    <xf numFmtId="166" fontId="37" fillId="0" borderId="1" xfId="3" applyNumberFormat="1" applyFont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/>
    </xf>
    <xf numFmtId="4" fontId="37" fillId="3" borderId="2" xfId="0" applyNumberFormat="1" applyFont="1" applyFill="1" applyBorder="1" applyAlignment="1">
      <alignment horizontal="center" vertical="center"/>
    </xf>
    <xf numFmtId="3" fontId="37" fillId="3" borderId="1" xfId="0" applyNumberFormat="1" applyFont="1" applyFill="1" applyBorder="1" applyAlignment="1">
      <alignment horizontal="center" vertical="center"/>
    </xf>
    <xf numFmtId="4" fontId="37" fillId="3" borderId="1" xfId="0" applyNumberFormat="1" applyFont="1" applyFill="1" applyBorder="1" applyAlignment="1">
      <alignment horizontal="center" vertical="center"/>
    </xf>
    <xf numFmtId="13" fontId="37" fillId="3" borderId="1" xfId="0" applyNumberFormat="1" applyFont="1" applyFill="1" applyBorder="1" applyAlignment="1">
      <alignment horizontal="center" vertical="center"/>
    </xf>
    <xf numFmtId="166" fontId="37" fillId="0" borderId="1" xfId="3" applyNumberFormat="1" applyFont="1" applyFill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165" fontId="34" fillId="0" borderId="1" xfId="3" applyFont="1" applyBorder="1" applyAlignment="1">
      <alignment horizontal="center" vertical="center"/>
    </xf>
    <xf numFmtId="165" fontId="37" fillId="0" borderId="2" xfId="3" applyFont="1" applyFill="1" applyBorder="1" applyAlignment="1">
      <alignment horizontal="center" vertical="center"/>
    </xf>
    <xf numFmtId="0" fontId="39" fillId="0" borderId="0" xfId="1" applyAlignment="1" applyProtection="1">
      <alignment vertical="center"/>
    </xf>
    <xf numFmtId="0" fontId="34" fillId="0" borderId="0" xfId="0" applyFont="1"/>
    <xf numFmtId="0" fontId="44" fillId="2" borderId="32" xfId="0" applyFont="1" applyFill="1" applyBorder="1" applyAlignment="1">
      <alignment horizontal="center" vertical="center"/>
    </xf>
    <xf numFmtId="0" fontId="44" fillId="2" borderId="33" xfId="0" applyFont="1" applyFill="1" applyBorder="1" applyAlignment="1">
      <alignment horizontal="center" vertical="center"/>
    </xf>
    <xf numFmtId="165" fontId="44" fillId="2" borderId="33" xfId="3" applyFont="1" applyFill="1" applyBorder="1" applyAlignment="1">
      <alignment horizontal="center" vertical="center"/>
    </xf>
    <xf numFmtId="165" fontId="37" fillId="0" borderId="0" xfId="3" applyFont="1" applyFill="1" applyAlignment="1">
      <alignment vertical="center"/>
    </xf>
    <xf numFmtId="165" fontId="34" fillId="0" borderId="1" xfId="3" applyFont="1" applyFill="1" applyBorder="1" applyAlignment="1">
      <alignment horizontal="center" vertical="center"/>
    </xf>
    <xf numFmtId="164" fontId="34" fillId="0" borderId="34" xfId="0" applyNumberFormat="1" applyFont="1" applyBorder="1" applyAlignment="1">
      <alignment vertical="center"/>
    </xf>
    <xf numFmtId="165" fontId="34" fillId="0" borderId="35" xfId="3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34" fillId="0" borderId="0" xfId="0" applyFont="1" applyAlignment="1">
      <alignment horizontal="center" vertical="center"/>
    </xf>
    <xf numFmtId="165" fontId="34" fillId="0" borderId="0" xfId="3" applyFont="1" applyAlignment="1">
      <alignment horizontal="center" vertical="center"/>
    </xf>
    <xf numFmtId="165" fontId="34" fillId="0" borderId="3" xfId="3" applyFont="1" applyBorder="1" applyAlignment="1">
      <alignment horizontal="center" vertical="center"/>
    </xf>
    <xf numFmtId="2" fontId="37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37" fillId="0" borderId="0" xfId="3" applyFont="1" applyAlignment="1">
      <alignment horizontal="right" vertical="center"/>
    </xf>
    <xf numFmtId="165" fontId="34" fillId="2" borderId="7" xfId="3" applyFont="1" applyFill="1" applyBorder="1" applyAlignment="1">
      <alignment horizontal="center" vertical="center"/>
    </xf>
    <xf numFmtId="165" fontId="34" fillId="0" borderId="14" xfId="3" applyFont="1" applyBorder="1" applyAlignment="1">
      <alignment vertical="center"/>
    </xf>
    <xf numFmtId="165" fontId="34" fillId="0" borderId="9" xfId="0" applyNumberFormat="1" applyFont="1" applyBorder="1" applyAlignment="1">
      <alignment vertical="center"/>
    </xf>
    <xf numFmtId="165" fontId="34" fillId="0" borderId="9" xfId="3" applyFont="1" applyBorder="1" applyAlignment="1">
      <alignment vertical="center"/>
    </xf>
    <xf numFmtId="10" fontId="34" fillId="0" borderId="15" xfId="2" applyNumberFormat="1" applyFont="1" applyBorder="1" applyAlignment="1">
      <alignment vertical="center"/>
    </xf>
    <xf numFmtId="165" fontId="34" fillId="0" borderId="38" xfId="3" applyFont="1" applyBorder="1" applyAlignment="1">
      <alignment vertical="center"/>
    </xf>
    <xf numFmtId="4" fontId="34" fillId="0" borderId="0" xfId="0" applyNumberFormat="1" applyFont="1" applyAlignment="1">
      <alignment vertical="center"/>
    </xf>
    <xf numFmtId="165" fontId="37" fillId="0" borderId="39" xfId="3" applyFont="1" applyBorder="1" applyAlignment="1">
      <alignment vertical="center"/>
    </xf>
    <xf numFmtId="165" fontId="37" fillId="0" borderId="40" xfId="3" applyFont="1" applyBorder="1" applyAlignment="1">
      <alignment vertical="center"/>
    </xf>
    <xf numFmtId="165" fontId="37" fillId="0" borderId="41" xfId="3" applyFont="1" applyBorder="1" applyAlignment="1">
      <alignment vertical="center"/>
    </xf>
    <xf numFmtId="0" fontId="37" fillId="0" borderId="41" xfId="0" applyFont="1" applyBorder="1" applyAlignment="1">
      <alignment vertical="center"/>
    </xf>
    <xf numFmtId="1" fontId="37" fillId="0" borderId="37" xfId="3" applyNumberFormat="1" applyFont="1" applyBorder="1" applyAlignment="1">
      <alignment horizontal="center" vertical="center"/>
    </xf>
    <xf numFmtId="165" fontId="34" fillId="0" borderId="14" xfId="3" applyFont="1" applyBorder="1" applyAlignment="1">
      <alignment horizontal="left" vertical="center"/>
    </xf>
    <xf numFmtId="4" fontId="34" fillId="0" borderId="9" xfId="0" applyNumberFormat="1" applyFont="1" applyBorder="1" applyAlignment="1">
      <alignment horizontal="centerContinuous" vertical="center"/>
    </xf>
    <xf numFmtId="4" fontId="37" fillId="0" borderId="0" xfId="0" applyNumberFormat="1" applyFont="1" applyAlignment="1">
      <alignment vertical="center"/>
    </xf>
    <xf numFmtId="165" fontId="37" fillId="6" borderId="1" xfId="3" applyFont="1" applyFill="1" applyBorder="1" applyAlignment="1">
      <alignment horizontal="center" vertical="center"/>
    </xf>
    <xf numFmtId="165" fontId="37" fillId="6" borderId="1" xfId="3" applyFont="1" applyFill="1" applyBorder="1" applyAlignment="1">
      <alignment vertical="center"/>
    </xf>
    <xf numFmtId="9" fontId="34" fillId="0" borderId="18" xfId="2" applyFont="1" applyBorder="1" applyAlignment="1">
      <alignment vertical="center"/>
    </xf>
    <xf numFmtId="10" fontId="37" fillId="0" borderId="15" xfId="2" applyNumberFormat="1" applyFont="1" applyBorder="1" applyAlignment="1">
      <alignment vertical="center"/>
    </xf>
    <xf numFmtId="0" fontId="36" fillId="0" borderId="0" xfId="0" applyFont="1"/>
    <xf numFmtId="0" fontId="36" fillId="0" borderId="0" xfId="0" applyFont="1" applyAlignment="1">
      <alignment horizontal="center"/>
    </xf>
    <xf numFmtId="165" fontId="37" fillId="0" borderId="1" xfId="0" applyNumberFormat="1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0" fillId="0" borderId="38" xfId="0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39" xfId="3" applyFont="1" applyFill="1" applyBorder="1" applyAlignment="1">
      <alignment vertical="center"/>
    </xf>
    <xf numFmtId="166" fontId="34" fillId="0" borderId="0" xfId="3" applyNumberFormat="1" applyFont="1" applyBorder="1" applyAlignment="1">
      <alignment horizontal="center" vertical="center"/>
    </xf>
    <xf numFmtId="0" fontId="47" fillId="0" borderId="14" xfId="0" applyFont="1" applyBorder="1"/>
    <xf numFmtId="0" fontId="47" fillId="0" borderId="47" xfId="0" applyFont="1" applyBorder="1"/>
    <xf numFmtId="0" fontId="47" fillId="3" borderId="20" xfId="0" applyFont="1" applyFill="1" applyBorder="1"/>
    <xf numFmtId="0" fontId="47" fillId="0" borderId="23" xfId="0" applyFont="1" applyBorder="1"/>
    <xf numFmtId="0" fontId="47" fillId="0" borderId="48" xfId="0" applyFont="1" applyBorder="1"/>
    <xf numFmtId="0" fontId="47" fillId="0" borderId="20" xfId="0" applyFont="1" applyBorder="1"/>
    <xf numFmtId="0" fontId="47" fillId="0" borderId="28" xfId="0" applyFont="1" applyBorder="1"/>
    <xf numFmtId="2" fontId="48" fillId="7" borderId="1" xfId="0" applyNumberFormat="1" applyFont="1" applyFill="1" applyBorder="1" applyAlignment="1">
      <alignment horizontal="right" vertical="center"/>
    </xf>
    <xf numFmtId="0" fontId="48" fillId="0" borderId="23" xfId="0" applyFont="1" applyBorder="1" applyAlignment="1">
      <alignment horizontal="center" vertical="center"/>
    </xf>
    <xf numFmtId="0" fontId="48" fillId="0" borderId="24" xfId="0" applyFont="1" applyBorder="1" applyAlignment="1">
      <alignment horizontal="center" vertical="center"/>
    </xf>
    <xf numFmtId="2" fontId="48" fillId="7" borderId="36" xfId="0" applyNumberFormat="1" applyFont="1" applyFill="1" applyBorder="1" applyAlignment="1">
      <alignment horizontal="right" vertical="center"/>
    </xf>
    <xf numFmtId="0" fontId="48" fillId="0" borderId="23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8" fillId="0" borderId="20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10" fontId="48" fillId="0" borderId="20" xfId="0" applyNumberFormat="1" applyFont="1" applyBorder="1" applyAlignment="1">
      <alignment horizontal="right" vertical="center"/>
    </xf>
    <xf numFmtId="0" fontId="52" fillId="0" borderId="1" xfId="0" applyFont="1" applyBorder="1" applyAlignment="1">
      <alignment horizontal="left" vertical="center"/>
    </xf>
    <xf numFmtId="10" fontId="52" fillId="0" borderId="20" xfId="0" applyNumberFormat="1" applyFont="1" applyBorder="1" applyAlignment="1">
      <alignment horizontal="right" vertical="center"/>
    </xf>
    <xf numFmtId="0" fontId="48" fillId="5" borderId="23" xfId="0" applyFont="1" applyFill="1" applyBorder="1" applyAlignment="1">
      <alignment horizontal="left" vertical="center"/>
    </xf>
    <xf numFmtId="0" fontId="52" fillId="5" borderId="1" xfId="0" applyFont="1" applyFill="1" applyBorder="1" applyAlignment="1">
      <alignment horizontal="left" vertical="center"/>
    </xf>
    <xf numFmtId="10" fontId="52" fillId="5" borderId="20" xfId="0" applyNumberFormat="1" applyFont="1" applyFill="1" applyBorder="1" applyAlignment="1">
      <alignment horizontal="right" vertical="center"/>
    </xf>
    <xf numFmtId="0" fontId="53" fillId="0" borderId="1" xfId="0" applyFont="1" applyBorder="1" applyAlignment="1">
      <alignment horizontal="left" vertical="center"/>
    </xf>
    <xf numFmtId="0" fontId="54" fillId="0" borderId="0" xfId="0" applyFont="1" applyAlignment="1">
      <alignment horizontal="left" vertical="center"/>
    </xf>
    <xf numFmtId="10" fontId="37" fillId="0" borderId="0" xfId="0" applyNumberFormat="1" applyFont="1"/>
    <xf numFmtId="9" fontId="48" fillId="0" borderId="0" xfId="2" applyFont="1" applyBorder="1" applyAlignment="1">
      <alignment horizontal="right" vertical="center"/>
    </xf>
    <xf numFmtId="0" fontId="48" fillId="0" borderId="1" xfId="0" applyFont="1" applyBorder="1" applyAlignment="1">
      <alignment horizontal="left" vertical="center" wrapText="1"/>
    </xf>
    <xf numFmtId="0" fontId="48" fillId="9" borderId="24" xfId="0" applyFont="1" applyFill="1" applyBorder="1" applyAlignment="1">
      <alignment horizontal="left" vertical="center"/>
    </xf>
    <xf numFmtId="0" fontId="52" fillId="9" borderId="36" xfId="0" applyFont="1" applyFill="1" applyBorder="1" applyAlignment="1">
      <alignment horizontal="left" vertical="center"/>
    </xf>
    <xf numFmtId="10" fontId="52" fillId="9" borderId="37" xfId="0" applyNumberFormat="1" applyFont="1" applyFill="1" applyBorder="1" applyAlignment="1">
      <alignment horizontal="right" vertical="center"/>
    </xf>
    <xf numFmtId="0" fontId="52" fillId="0" borderId="0" xfId="0" applyFont="1" applyAlignment="1">
      <alignment horizontal="left" vertical="center"/>
    </xf>
    <xf numFmtId="10" fontId="52" fillId="0" borderId="0" xfId="0" applyNumberFormat="1" applyFont="1" applyAlignment="1">
      <alignment horizontal="right" vertical="center"/>
    </xf>
    <xf numFmtId="0" fontId="54" fillId="4" borderId="0" xfId="0" applyFont="1" applyFill="1" applyAlignment="1">
      <alignment horizontal="left" vertical="center"/>
    </xf>
    <xf numFmtId="10" fontId="48" fillId="0" borderId="0" xfId="0" applyNumberFormat="1" applyFont="1" applyAlignment="1">
      <alignment horizontal="right" vertical="center"/>
    </xf>
    <xf numFmtId="0" fontId="48" fillId="4" borderId="0" xfId="0" applyFont="1" applyFill="1" applyAlignment="1">
      <alignment horizontal="left" vertical="center"/>
    </xf>
    <xf numFmtId="0" fontId="55" fillId="0" borderId="0" xfId="0" applyFont="1" applyAlignment="1">
      <alignment horizontal="justify" vertical="center"/>
    </xf>
    <xf numFmtId="0" fontId="39" fillId="0" borderId="0" xfId="1" applyBorder="1" applyAlignment="1" applyProtection="1">
      <alignment horizontal="left" vertical="center"/>
    </xf>
    <xf numFmtId="0" fontId="56" fillId="0" borderId="0" xfId="0" applyFont="1"/>
    <xf numFmtId="0" fontId="48" fillId="0" borderId="0" xfId="0" applyFont="1" applyAlignment="1">
      <alignment horizontal="right" vertical="center"/>
    </xf>
    <xf numFmtId="0" fontId="39" fillId="0" borderId="0" xfId="1" applyBorder="1" applyAlignment="1" applyProtection="1">
      <alignment vertical="center"/>
    </xf>
    <xf numFmtId="0" fontId="36" fillId="0" borderId="15" xfId="0" applyFont="1" applyBorder="1"/>
    <xf numFmtId="0" fontId="36" fillId="0" borderId="23" xfId="0" applyFont="1" applyBorder="1"/>
    <xf numFmtId="0" fontId="36" fillId="3" borderId="20" xfId="0" applyFont="1" applyFill="1" applyBorder="1"/>
    <xf numFmtId="0" fontId="36" fillId="0" borderId="47" xfId="0" applyFont="1" applyBorder="1"/>
    <xf numFmtId="0" fontId="36" fillId="3" borderId="48" xfId="0" applyFont="1" applyFill="1" applyBorder="1"/>
    <xf numFmtId="0" fontId="36" fillId="0" borderId="49" xfId="0" applyFont="1" applyBorder="1"/>
    <xf numFmtId="0" fontId="36" fillId="3" borderId="50" xfId="0" applyFont="1" applyFill="1" applyBorder="1"/>
    <xf numFmtId="0" fontId="36" fillId="0" borderId="38" xfId="0" applyFont="1" applyBorder="1"/>
    <xf numFmtId="0" fontId="36" fillId="0" borderId="39" xfId="0" applyFont="1" applyBorder="1"/>
    <xf numFmtId="0" fontId="38" fillId="0" borderId="48" xfId="0" applyFont="1" applyBorder="1"/>
    <xf numFmtId="0" fontId="38" fillId="0" borderId="38" xfId="0" applyFont="1" applyBorder="1" applyAlignment="1">
      <alignment horizontal="left" vertical="center"/>
    </xf>
    <xf numFmtId="9" fontId="36" fillId="0" borderId="23" xfId="2" applyFont="1" applyBorder="1"/>
    <xf numFmtId="9" fontId="36" fillId="0" borderId="1" xfId="2" applyFont="1" applyBorder="1" applyAlignment="1">
      <alignment horizontal="center"/>
    </xf>
    <xf numFmtId="9" fontId="36" fillId="0" borderId="20" xfId="2" applyFont="1" applyBorder="1"/>
    <xf numFmtId="0" fontId="36" fillId="0" borderId="21" xfId="0" applyFont="1" applyBorder="1" applyAlignment="1">
      <alignment horizontal="left" vertical="center"/>
    </xf>
    <xf numFmtId="0" fontId="36" fillId="0" borderId="22" xfId="0" applyFont="1" applyBorder="1" applyAlignment="1">
      <alignment horizontal="center" vertical="center"/>
    </xf>
    <xf numFmtId="10" fontId="36" fillId="3" borderId="12" xfId="0" applyNumberFormat="1" applyFont="1" applyFill="1" applyBorder="1" applyAlignment="1">
      <alignment horizontal="center" vertical="center"/>
    </xf>
    <xf numFmtId="10" fontId="36" fillId="0" borderId="20" xfId="2" applyNumberFormat="1" applyFont="1" applyBorder="1"/>
    <xf numFmtId="0" fontId="36" fillId="0" borderId="23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10" fontId="36" fillId="3" borderId="20" xfId="0" applyNumberFormat="1" applyFont="1" applyFill="1" applyBorder="1" applyAlignment="1">
      <alignment horizontal="center" vertical="center"/>
    </xf>
    <xf numFmtId="10" fontId="36" fillId="0" borderId="20" xfId="0" applyNumberFormat="1" applyFont="1" applyBorder="1" applyAlignment="1">
      <alignment horizontal="center" vertical="center"/>
    </xf>
    <xf numFmtId="10" fontId="36" fillId="3" borderId="1" xfId="2" applyNumberFormat="1" applyFont="1" applyFill="1" applyBorder="1" applyAlignment="1">
      <alignment horizontal="center"/>
    </xf>
    <xf numFmtId="0" fontId="36" fillId="3" borderId="1" xfId="0" applyFont="1" applyFill="1" applyBorder="1" applyAlignment="1">
      <alignment horizontal="center"/>
    </xf>
    <xf numFmtId="0" fontId="36" fillId="0" borderId="20" xfId="0" applyFont="1" applyBorder="1"/>
    <xf numFmtId="0" fontId="36" fillId="0" borderId="24" xfId="0" applyFont="1" applyBorder="1" applyAlignment="1">
      <alignment horizontal="left" vertical="center"/>
    </xf>
    <xf numFmtId="10" fontId="36" fillId="3" borderId="37" xfId="0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25" xfId="0" applyFont="1" applyBorder="1" applyAlignment="1">
      <alignment vertical="center"/>
    </xf>
    <xf numFmtId="0" fontId="36" fillId="0" borderId="26" xfId="0" applyFont="1" applyBorder="1" applyAlignment="1">
      <alignment vertical="center"/>
    </xf>
    <xf numFmtId="10" fontId="36" fillId="0" borderId="27" xfId="0" applyNumberFormat="1" applyFont="1" applyBorder="1" applyAlignment="1">
      <alignment vertical="center"/>
    </xf>
    <xf numFmtId="0" fontId="36" fillId="0" borderId="28" xfId="0" applyFont="1" applyBorder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6" fillId="0" borderId="30" xfId="0" applyFont="1" applyBorder="1" applyAlignment="1">
      <alignment vertical="center"/>
    </xf>
    <xf numFmtId="0" fontId="38" fillId="5" borderId="5" xfId="0" applyFont="1" applyFill="1" applyBorder="1" applyAlignment="1">
      <alignment vertical="center" wrapText="1"/>
    </xf>
    <xf numFmtId="0" fontId="36" fillId="5" borderId="6" xfId="0" applyFont="1" applyFill="1" applyBorder="1" applyAlignment="1">
      <alignment vertical="center"/>
    </xf>
    <xf numFmtId="10" fontId="38" fillId="5" borderId="7" xfId="0" applyNumberFormat="1" applyFont="1" applyFill="1" applyBorder="1" applyAlignment="1">
      <alignment horizontal="center" vertical="center" wrapText="1"/>
    </xf>
    <xf numFmtId="10" fontId="36" fillId="0" borderId="23" xfId="2" applyNumberFormat="1" applyFont="1" applyBorder="1" applyAlignment="1">
      <alignment horizontal="right"/>
    </xf>
    <xf numFmtId="10" fontId="36" fillId="0" borderId="1" xfId="2" applyNumberFormat="1" applyFont="1" applyBorder="1" applyAlignment="1">
      <alignment horizontal="right"/>
    </xf>
    <xf numFmtId="10" fontId="36" fillId="0" borderId="20" xfId="2" applyNumberFormat="1" applyFont="1" applyBorder="1" applyAlignment="1">
      <alignment horizontal="right"/>
    </xf>
    <xf numFmtId="10" fontId="36" fillId="0" borderId="24" xfId="2" applyNumberFormat="1" applyFont="1" applyBorder="1" applyAlignment="1">
      <alignment horizontal="right"/>
    </xf>
    <xf numFmtId="10" fontId="36" fillId="0" borderId="36" xfId="2" applyNumberFormat="1" applyFont="1" applyBorder="1" applyAlignment="1">
      <alignment horizontal="right"/>
    </xf>
    <xf numFmtId="10" fontId="36" fillId="0" borderId="37" xfId="2" applyNumberFormat="1" applyFont="1" applyBorder="1" applyAlignment="1">
      <alignment horizontal="right"/>
    </xf>
    <xf numFmtId="0" fontId="37" fillId="0" borderId="52" xfId="0" applyFont="1" applyBorder="1"/>
    <xf numFmtId="0" fontId="49" fillId="0" borderId="52" xfId="0" applyFont="1" applyBorder="1" applyAlignment="1">
      <alignment horizontal="justify"/>
    </xf>
    <xf numFmtId="0" fontId="49" fillId="0" borderId="53" xfId="0" applyFont="1" applyBorder="1" applyAlignment="1">
      <alignment horizontal="justify"/>
    </xf>
    <xf numFmtId="0" fontId="46" fillId="10" borderId="51" xfId="0" applyFont="1" applyFill="1" applyBorder="1" applyAlignment="1">
      <alignment horizontal="center"/>
    </xf>
    <xf numFmtId="1" fontId="37" fillId="0" borderId="0" xfId="3" applyNumberFormat="1" applyFont="1" applyBorder="1" applyAlignment="1">
      <alignment horizontal="center" vertic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165" fontId="37" fillId="3" borderId="9" xfId="3" applyFont="1" applyFill="1" applyBorder="1" applyAlignment="1">
      <alignment vertical="center"/>
    </xf>
    <xf numFmtId="165" fontId="37" fillId="0" borderId="10" xfId="3" applyFont="1" applyBorder="1" applyAlignment="1">
      <alignment vertical="center"/>
    </xf>
    <xf numFmtId="165" fontId="34" fillId="0" borderId="7" xfId="3" applyFont="1" applyBorder="1" applyAlignment="1">
      <alignment horizontal="right" vertical="center"/>
    </xf>
    <xf numFmtId="165" fontId="34" fillId="2" borderId="4" xfId="3" applyFont="1" applyFill="1" applyBorder="1" applyAlignment="1">
      <alignment horizontal="right" vertical="center"/>
    </xf>
    <xf numFmtId="168" fontId="34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34" fillId="0" borderId="36" xfId="0" applyNumberFormat="1" applyFont="1" applyBorder="1" applyAlignment="1">
      <alignment vertical="center"/>
    </xf>
    <xf numFmtId="165" fontId="34" fillId="0" borderId="11" xfId="3" applyFont="1" applyBorder="1" applyAlignment="1">
      <alignment vertical="center"/>
    </xf>
    <xf numFmtId="165" fontId="34" fillId="0" borderId="5" xfId="3" applyFont="1" applyBorder="1" applyAlignment="1">
      <alignment vertical="center"/>
    </xf>
    <xf numFmtId="0" fontId="35" fillId="0" borderId="3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52" fillId="0" borderId="23" xfId="0" applyFont="1" applyBorder="1" applyAlignment="1">
      <alignment horizontal="center" vertical="center"/>
    </xf>
    <xf numFmtId="0" fontId="52" fillId="7" borderId="1" xfId="0" applyFont="1" applyFill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165" fontId="34" fillId="0" borderId="9" xfId="3" applyFont="1" applyBorder="1" applyAlignment="1">
      <alignment horizontal="center" vertical="center"/>
    </xf>
    <xf numFmtId="0" fontId="44" fillId="2" borderId="17" xfId="0" applyFont="1" applyFill="1" applyBorder="1" applyAlignment="1">
      <alignment horizontal="center" vertical="center" wrapText="1"/>
    </xf>
    <xf numFmtId="167" fontId="37" fillId="0" borderId="1" xfId="3" applyNumberFormat="1" applyFont="1" applyBorder="1" applyAlignment="1">
      <alignment horizontal="center" vertical="center"/>
    </xf>
    <xf numFmtId="166" fontId="34" fillId="0" borderId="1" xfId="3" applyNumberFormat="1" applyFont="1" applyBorder="1" applyAlignment="1">
      <alignment horizontal="center" vertical="center"/>
    </xf>
    <xf numFmtId="167" fontId="34" fillId="0" borderId="1" xfId="3" applyNumberFormat="1" applyFont="1" applyBorder="1" applyAlignment="1">
      <alignment horizontal="center" vertical="center"/>
    </xf>
    <xf numFmtId="167" fontId="37" fillId="0" borderId="2" xfId="3" applyNumberFormat="1" applyFont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2" fillId="0" borderId="0" xfId="0" applyFont="1"/>
    <xf numFmtId="0" fontId="34" fillId="0" borderId="54" xfId="0" applyFont="1" applyBorder="1" applyAlignment="1">
      <alignment vertical="center"/>
    </xf>
    <xf numFmtId="0" fontId="34" fillId="0" borderId="54" xfId="0" applyFont="1" applyBorder="1" applyAlignment="1">
      <alignment horizontal="center" vertical="center"/>
    </xf>
    <xf numFmtId="165" fontId="34" fillId="0" borderId="54" xfId="3" applyFont="1" applyBorder="1" applyAlignment="1">
      <alignment horizontal="center" vertical="center"/>
    </xf>
    <xf numFmtId="165" fontId="34" fillId="0" borderId="54" xfId="3" applyFont="1" applyFill="1" applyBorder="1" applyAlignment="1">
      <alignment horizontal="center" vertical="center"/>
    </xf>
    <xf numFmtId="4" fontId="32" fillId="0" borderId="0" xfId="0" applyNumberFormat="1" applyFont="1" applyAlignment="1">
      <alignment vertical="center"/>
    </xf>
    <xf numFmtId="0" fontId="38" fillId="0" borderId="23" xfId="0" applyFont="1" applyBorder="1"/>
    <xf numFmtId="0" fontId="38" fillId="0" borderId="1" xfId="0" applyFont="1" applyBorder="1"/>
    <xf numFmtId="0" fontId="38" fillId="0" borderId="20" xfId="0" applyFont="1" applyBorder="1"/>
    <xf numFmtId="0" fontId="36" fillId="0" borderId="1" xfId="0" applyFont="1" applyBorder="1"/>
    <xf numFmtId="170" fontId="53" fillId="0" borderId="20" xfId="3" applyNumberFormat="1" applyFont="1" applyBorder="1" applyAlignment="1">
      <alignment horizontal="center" vertical="center" wrapText="1"/>
    </xf>
    <xf numFmtId="171" fontId="36" fillId="0" borderId="20" xfId="0" applyNumberFormat="1" applyFont="1" applyBorder="1"/>
    <xf numFmtId="2" fontId="36" fillId="0" borderId="20" xfId="0" applyNumberFormat="1" applyFont="1" applyBorder="1"/>
    <xf numFmtId="0" fontId="36" fillId="0" borderId="24" xfId="0" applyFont="1" applyBorder="1"/>
    <xf numFmtId="0" fontId="36" fillId="0" borderId="36" xfId="0" applyFont="1" applyBorder="1"/>
    <xf numFmtId="171" fontId="36" fillId="3" borderId="20" xfId="0" applyNumberFormat="1" applyFont="1" applyFill="1" applyBorder="1"/>
    <xf numFmtId="171" fontId="36" fillId="0" borderId="37" xfId="0" applyNumberFormat="1" applyFont="1" applyBorder="1"/>
    <xf numFmtId="0" fontId="46" fillId="0" borderId="1" xfId="0" applyFont="1" applyBorder="1" applyAlignment="1">
      <alignment horizontal="center"/>
    </xf>
    <xf numFmtId="0" fontId="46" fillId="0" borderId="23" xfId="0" applyFont="1" applyBorder="1" applyAlignment="1">
      <alignment horizontal="center"/>
    </xf>
    <xf numFmtId="0" fontId="46" fillId="0" borderId="20" xfId="0" applyFont="1" applyBorder="1" applyAlignment="1">
      <alignment horizontal="center"/>
    </xf>
    <xf numFmtId="0" fontId="36" fillId="0" borderId="23" xfId="0" applyFont="1" applyBorder="1" applyAlignment="1">
      <alignment horizontal="right"/>
    </xf>
    <xf numFmtId="4" fontId="58" fillId="0" borderId="0" xfId="0" applyNumberFormat="1" applyFont="1" applyAlignment="1">
      <alignment vertical="center"/>
    </xf>
    <xf numFmtId="4" fontId="59" fillId="0" borderId="0" xfId="0" applyNumberFormat="1" applyFont="1" applyAlignment="1">
      <alignment vertical="center"/>
    </xf>
    <xf numFmtId="0" fontId="57" fillId="0" borderId="0" xfId="0" applyFont="1"/>
    <xf numFmtId="0" fontId="32" fillId="0" borderId="2" xfId="0" applyFont="1" applyBorder="1" applyAlignment="1">
      <alignment vertical="center"/>
    </xf>
    <xf numFmtId="169" fontId="38" fillId="0" borderId="20" xfId="0" applyNumberFormat="1" applyFont="1" applyBorder="1"/>
    <xf numFmtId="9" fontId="47" fillId="0" borderId="20" xfId="2" applyFont="1" applyBorder="1"/>
    <xf numFmtId="10" fontId="47" fillId="0" borderId="20" xfId="2" applyNumberFormat="1" applyFont="1" applyBorder="1"/>
    <xf numFmtId="9" fontId="38" fillId="0" borderId="31" xfId="2" applyFont="1" applyBorder="1"/>
    <xf numFmtId="0" fontId="36" fillId="0" borderId="55" xfId="0" applyFont="1" applyBorder="1"/>
    <xf numFmtId="171" fontId="36" fillId="0" borderId="0" xfId="0" applyNumberFormat="1" applyFont="1"/>
    <xf numFmtId="165" fontId="32" fillId="3" borderId="2" xfId="3" applyFont="1" applyFill="1" applyBorder="1" applyAlignment="1">
      <alignment horizontal="center" vertical="center"/>
    </xf>
    <xf numFmtId="10" fontId="34" fillId="3" borderId="7" xfId="2" applyNumberFormat="1" applyFont="1" applyFill="1" applyBorder="1" applyAlignment="1">
      <alignment vertical="center"/>
    </xf>
    <xf numFmtId="174" fontId="37" fillId="0" borderId="1" xfId="3" applyNumberFormat="1" applyFont="1" applyBorder="1" applyAlignment="1">
      <alignment vertical="center"/>
    </xf>
    <xf numFmtId="0" fontId="61" fillId="0" borderId="0" xfId="25" applyFont="1"/>
    <xf numFmtId="0" fontId="30" fillId="0" borderId="0" xfId="25"/>
    <xf numFmtId="0" fontId="61" fillId="0" borderId="1" xfId="25" applyFont="1" applyBorder="1"/>
    <xf numFmtId="0" fontId="30" fillId="0" borderId="8" xfId="25" applyBorder="1"/>
    <xf numFmtId="0" fontId="30" fillId="0" borderId="9" xfId="25" applyBorder="1"/>
    <xf numFmtId="0" fontId="30" fillId="0" borderId="1" xfId="25" applyBorder="1"/>
    <xf numFmtId="0" fontId="61" fillId="0" borderId="8" xfId="25" applyFont="1" applyBorder="1"/>
    <xf numFmtId="0" fontId="61" fillId="0" borderId="9" xfId="25" applyFont="1" applyBorder="1"/>
    <xf numFmtId="10" fontId="61" fillId="0" borderId="1" xfId="2" applyNumberFormat="1" applyFont="1" applyBorder="1"/>
    <xf numFmtId="165" fontId="0" fillId="3" borderId="1" xfId="3" applyFont="1" applyFill="1" applyBorder="1"/>
    <xf numFmtId="13" fontId="32" fillId="3" borderId="1" xfId="0" applyNumberFormat="1" applyFont="1" applyFill="1" applyBorder="1" applyAlignment="1">
      <alignment vertical="center"/>
    </xf>
    <xf numFmtId="0" fontId="32" fillId="0" borderId="1" xfId="0" applyFont="1" applyBorder="1" applyAlignment="1">
      <alignment vertical="center"/>
    </xf>
    <xf numFmtId="165" fontId="30" fillId="0" borderId="1" xfId="3" applyFont="1" applyBorder="1"/>
    <xf numFmtId="13" fontId="37" fillId="3" borderId="1" xfId="0" applyNumberFormat="1" applyFont="1" applyFill="1" applyBorder="1" applyAlignment="1">
      <alignment vertical="center"/>
    </xf>
    <xf numFmtId="165" fontId="61" fillId="0" borderId="1" xfId="3" applyFont="1" applyBorder="1"/>
    <xf numFmtId="165" fontId="37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/>
    </xf>
    <xf numFmtId="4" fontId="37" fillId="3" borderId="1" xfId="0" applyNumberFormat="1" applyFont="1" applyFill="1" applyBorder="1" applyAlignment="1">
      <alignment vertical="center"/>
    </xf>
    <xf numFmtId="165" fontId="32" fillId="0" borderId="0" xfId="3" applyFont="1" applyAlignment="1">
      <alignment vertical="center"/>
    </xf>
    <xf numFmtId="165" fontId="32" fillId="0" borderId="1" xfId="3" applyFont="1" applyBorder="1" applyAlignment="1">
      <alignment horizontal="center" vertical="center"/>
    </xf>
    <xf numFmtId="165" fontId="32" fillId="0" borderId="0" xfId="3" applyFont="1" applyAlignment="1">
      <alignment horizontal="right" vertical="center"/>
    </xf>
    <xf numFmtId="165" fontId="32" fillId="0" borderId="1" xfId="3" applyFont="1" applyBorder="1" applyAlignment="1">
      <alignment vertical="center"/>
    </xf>
    <xf numFmtId="166" fontId="32" fillId="0" borderId="1" xfId="3" applyNumberFormat="1" applyFont="1" applyBorder="1" applyAlignment="1">
      <alignment horizontal="center" vertical="center"/>
    </xf>
    <xf numFmtId="165" fontId="32" fillId="3" borderId="1" xfId="3" applyFont="1" applyFill="1" applyBorder="1" applyAlignment="1">
      <alignment horizontal="center" vertical="center"/>
    </xf>
    <xf numFmtId="167" fontId="32" fillId="0" borderId="1" xfId="3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3" applyFont="1" applyBorder="1"/>
    <xf numFmtId="0" fontId="34" fillId="0" borderId="1" xfId="0" applyFont="1" applyBorder="1"/>
    <xf numFmtId="165" fontId="34" fillId="0" borderId="1" xfId="0" applyNumberFormat="1" applyFont="1" applyBorder="1"/>
    <xf numFmtId="165" fontId="34" fillId="0" borderId="1" xfId="3" applyFont="1" applyBorder="1"/>
    <xf numFmtId="0" fontId="32" fillId="0" borderId="1" xfId="0" applyFont="1" applyBorder="1"/>
    <xf numFmtId="43" fontId="0" fillId="3" borderId="1" xfId="0" applyNumberFormat="1" applyFill="1" applyBorder="1"/>
    <xf numFmtId="0" fontId="32" fillId="3" borderId="1" xfId="0" applyFont="1" applyFill="1" applyBorder="1"/>
    <xf numFmtId="165" fontId="0" fillId="0" borderId="1" xfId="2" applyNumberFormat="1" applyFont="1" applyBorder="1"/>
    <xf numFmtId="0" fontId="34" fillId="0" borderId="10" xfId="0" applyFont="1" applyBorder="1" applyAlignment="1">
      <alignment horizontal="center"/>
    </xf>
    <xf numFmtId="43" fontId="0" fillId="0" borderId="10" xfId="0" applyNumberFormat="1" applyBorder="1"/>
    <xf numFmtId="43" fontId="34" fillId="0" borderId="10" xfId="0" applyNumberFormat="1" applyFont="1" applyBorder="1"/>
    <xf numFmtId="165" fontId="0" fillId="0" borderId="0" xfId="3" applyFont="1" applyBorder="1"/>
    <xf numFmtId="43" fontId="0" fillId="0" borderId="0" xfId="0" applyNumberFormat="1"/>
    <xf numFmtId="165" fontId="34" fillId="0" borderId="0" xfId="0" applyNumberFormat="1" applyFont="1"/>
    <xf numFmtId="43" fontId="34" fillId="0" borderId="0" xfId="0" applyNumberFormat="1" applyFont="1"/>
    <xf numFmtId="176" fontId="30" fillId="0" borderId="0" xfId="25" applyNumberFormat="1"/>
    <xf numFmtId="174" fontId="37" fillId="0" borderId="0" xfId="3" applyNumberFormat="1" applyFont="1" applyAlignment="1">
      <alignment vertical="center"/>
    </xf>
    <xf numFmtId="0" fontId="32" fillId="0" borderId="1" xfId="0" applyFont="1" applyBorder="1" applyAlignment="1">
      <alignment horizontal="center" vertical="center"/>
    </xf>
    <xf numFmtId="44" fontId="32" fillId="0" borderId="1" xfId="38" applyFont="1" applyBorder="1" applyAlignment="1">
      <alignment vertical="center"/>
    </xf>
    <xf numFmtId="10" fontId="0" fillId="0" borderId="1" xfId="2" applyNumberFormat="1" applyFont="1" applyBorder="1"/>
    <xf numFmtId="174" fontId="37" fillId="0" borderId="0" xfId="3" applyNumberFormat="1" applyFont="1" applyBorder="1" applyAlignment="1">
      <alignment vertical="center"/>
    </xf>
    <xf numFmtId="1" fontId="32" fillId="0" borderId="1" xfId="3" applyNumberFormat="1" applyFont="1" applyFill="1" applyBorder="1" applyAlignment="1">
      <alignment horizontal="center" vertical="center"/>
    </xf>
    <xf numFmtId="44" fontId="32" fillId="3" borderId="1" xfId="6" applyFont="1" applyFill="1" applyBorder="1" applyAlignment="1">
      <alignment horizontal="center" vertical="center"/>
    </xf>
    <xf numFmtId="44" fontId="32" fillId="3" borderId="1" xfId="6" applyFont="1" applyFill="1" applyBorder="1" applyAlignment="1">
      <alignment vertical="center"/>
    </xf>
    <xf numFmtId="0" fontId="33" fillId="0" borderId="56" xfId="0" applyFont="1" applyBorder="1" applyAlignment="1">
      <alignment vertical="center"/>
    </xf>
    <xf numFmtId="44" fontId="34" fillId="2" borderId="4" xfId="6" applyFont="1" applyFill="1" applyBorder="1" applyAlignment="1">
      <alignment vertical="center"/>
    </xf>
    <xf numFmtId="13" fontId="37" fillId="3" borderId="1" xfId="0" applyNumberFormat="1" applyFont="1" applyFill="1" applyBorder="1" applyAlignment="1">
      <alignment horizontal="right" vertical="center"/>
    </xf>
    <xf numFmtId="4" fontId="32" fillId="3" borderId="1" xfId="0" applyNumberFormat="1" applyFont="1" applyFill="1" applyBorder="1" applyAlignment="1">
      <alignment horizontal="center" vertical="center"/>
    </xf>
    <xf numFmtId="177" fontId="34" fillId="0" borderId="0" xfId="3" applyNumberFormat="1" applyFont="1" applyAlignment="1">
      <alignment vertical="center"/>
    </xf>
    <xf numFmtId="165" fontId="0" fillId="0" borderId="0" xfId="3" applyFont="1" applyFill="1"/>
    <xf numFmtId="165" fontId="0" fillId="0" borderId="0" xfId="0" applyNumberFormat="1"/>
    <xf numFmtId="174" fontId="32" fillId="0" borderId="1" xfId="3" applyNumberFormat="1" applyFont="1" applyBorder="1" applyAlignment="1">
      <alignment vertical="center"/>
    </xf>
    <xf numFmtId="0" fontId="32" fillId="3" borderId="0" xfId="0" applyFont="1" applyFill="1"/>
    <xf numFmtId="0" fontId="0" fillId="3" borderId="0" xfId="0" applyFill="1"/>
    <xf numFmtId="10" fontId="0" fillId="3" borderId="0" xfId="2" applyNumberFormat="1" applyFont="1" applyFill="1"/>
    <xf numFmtId="2" fontId="30" fillId="0" borderId="1" xfId="25" applyNumberFormat="1" applyBorder="1"/>
    <xf numFmtId="2" fontId="30" fillId="0" borderId="0" xfId="25" applyNumberFormat="1"/>
    <xf numFmtId="10" fontId="61" fillId="0" borderId="0" xfId="2" applyNumberFormat="1" applyFont="1" applyBorder="1"/>
    <xf numFmtId="169" fontId="30" fillId="0" borderId="0" xfId="25" applyNumberFormat="1"/>
    <xf numFmtId="0" fontId="34" fillId="0" borderId="0" xfId="9" applyFont="1" applyAlignment="1">
      <alignment vertical="center"/>
    </xf>
    <xf numFmtId="0" fontId="32" fillId="0" borderId="0" xfId="9" applyAlignment="1">
      <alignment vertical="center"/>
    </xf>
    <xf numFmtId="4" fontId="32" fillId="0" borderId="0" xfId="9" applyNumberFormat="1" applyAlignment="1">
      <alignment vertical="center"/>
    </xf>
    <xf numFmtId="0" fontId="36" fillId="0" borderId="0" xfId="9" applyFont="1" applyAlignment="1">
      <alignment vertical="center"/>
    </xf>
    <xf numFmtId="0" fontId="32" fillId="0" borderId="38" xfId="9" applyBorder="1" applyAlignment="1">
      <alignment vertical="center"/>
    </xf>
    <xf numFmtId="168" fontId="34" fillId="0" borderId="1" xfId="9" applyNumberFormat="1" applyFont="1" applyBorder="1" applyAlignment="1">
      <alignment vertical="center"/>
    </xf>
    <xf numFmtId="4" fontId="34" fillId="0" borderId="9" xfId="9" applyNumberFormat="1" applyFont="1" applyBorder="1" applyAlignment="1">
      <alignment horizontal="centerContinuous" vertical="center"/>
    </xf>
    <xf numFmtId="10" fontId="32" fillId="0" borderId="15" xfId="2" applyNumberFormat="1" applyFont="1" applyBorder="1" applyAlignment="1">
      <alignment vertical="center"/>
    </xf>
    <xf numFmtId="168" fontId="34" fillId="0" borderId="36" xfId="9" applyNumberFormat="1" applyFont="1" applyBorder="1" applyAlignment="1">
      <alignment vertical="center"/>
    </xf>
    <xf numFmtId="4" fontId="34" fillId="0" borderId="6" xfId="9" applyNumberFormat="1" applyFont="1" applyBorder="1" applyAlignment="1">
      <alignment horizontal="centerContinuous" vertical="center"/>
    </xf>
    <xf numFmtId="164" fontId="34" fillId="0" borderId="34" xfId="9" applyNumberFormat="1" applyFont="1" applyBorder="1" applyAlignment="1">
      <alignment vertical="center"/>
    </xf>
    <xf numFmtId="165" fontId="32" fillId="0" borderId="14" xfId="3" applyFont="1" applyBorder="1" applyAlignment="1">
      <alignment vertical="center"/>
    </xf>
    <xf numFmtId="165" fontId="32" fillId="0" borderId="9" xfId="3" applyFont="1" applyBorder="1" applyAlignment="1">
      <alignment vertical="center"/>
    </xf>
    <xf numFmtId="1" fontId="32" fillId="0" borderId="20" xfId="3" applyNumberFormat="1" applyFont="1" applyBorder="1" applyAlignment="1">
      <alignment horizontal="center" vertical="center"/>
    </xf>
    <xf numFmtId="165" fontId="32" fillId="0" borderId="0" xfId="3" applyFont="1" applyBorder="1" applyAlignment="1">
      <alignment vertical="center"/>
    </xf>
    <xf numFmtId="165" fontId="32" fillId="0" borderId="39" xfId="3" applyFont="1" applyBorder="1" applyAlignment="1">
      <alignment vertical="center"/>
    </xf>
    <xf numFmtId="166" fontId="32" fillId="0" borderId="0" xfId="3" applyNumberFormat="1" applyFont="1" applyBorder="1" applyAlignment="1">
      <alignment horizontal="center" vertical="center"/>
    </xf>
    <xf numFmtId="0" fontId="44" fillId="2" borderId="16" xfId="9" applyFont="1" applyFill="1" applyBorder="1" applyAlignment="1">
      <alignment horizontal="center" vertical="center"/>
    </xf>
    <xf numFmtId="0" fontId="44" fillId="2" borderId="17" xfId="9" applyFont="1" applyFill="1" applyBorder="1" applyAlignment="1">
      <alignment horizontal="center" vertical="center"/>
    </xf>
    <xf numFmtId="0" fontId="32" fillId="0" borderId="2" xfId="9" applyBorder="1" applyAlignment="1">
      <alignment vertical="center"/>
    </xf>
    <xf numFmtId="0" fontId="32" fillId="0" borderId="2" xfId="9" applyBorder="1" applyAlignment="1">
      <alignment horizontal="center" vertical="center"/>
    </xf>
    <xf numFmtId="165" fontId="32" fillId="0" borderId="2" xfId="3" applyFont="1" applyBorder="1" applyAlignment="1">
      <alignment horizontal="center" vertical="center"/>
    </xf>
    <xf numFmtId="0" fontId="32" fillId="0" borderId="1" xfId="9" applyBorder="1" applyAlignment="1">
      <alignment vertical="center"/>
    </xf>
    <xf numFmtId="0" fontId="32" fillId="0" borderId="1" xfId="9" applyBorder="1" applyAlignment="1">
      <alignment horizontal="center" vertical="center"/>
    </xf>
    <xf numFmtId="165" fontId="32" fillId="0" borderId="1" xfId="3" applyFont="1" applyFill="1" applyBorder="1" applyAlignment="1">
      <alignment horizontal="center" vertical="center"/>
    </xf>
    <xf numFmtId="165" fontId="32" fillId="6" borderId="1" xfId="3" applyFont="1" applyFill="1" applyBorder="1" applyAlignment="1">
      <alignment horizontal="center" vertical="center"/>
    </xf>
    <xf numFmtId="0" fontId="34" fillId="0" borderId="5" xfId="9" applyFont="1" applyBorder="1" applyAlignment="1">
      <alignment vertical="center"/>
    </xf>
    <xf numFmtId="0" fontId="34" fillId="0" borderId="6" xfId="9" applyFont="1" applyBorder="1" applyAlignment="1">
      <alignment vertical="center"/>
    </xf>
    <xf numFmtId="0" fontId="32" fillId="0" borderId="6" xfId="9" applyBorder="1" applyAlignment="1">
      <alignment vertical="center"/>
    </xf>
    <xf numFmtId="165" fontId="32" fillId="0" borderId="6" xfId="3" applyFont="1" applyBorder="1" applyAlignment="1">
      <alignment vertical="center"/>
    </xf>
    <xf numFmtId="165" fontId="32" fillId="0" borderId="7" xfId="3" applyFont="1" applyBorder="1" applyAlignment="1">
      <alignment vertical="center"/>
    </xf>
    <xf numFmtId="165" fontId="32" fillId="0" borderId="0" xfId="3" applyFont="1" applyAlignment="1">
      <alignment horizontal="center" vertical="center"/>
    </xf>
    <xf numFmtId="167" fontId="32" fillId="3" borderId="2" xfId="3" applyNumberFormat="1" applyFont="1" applyFill="1" applyBorder="1" applyAlignment="1">
      <alignment horizontal="center" vertical="center"/>
    </xf>
    <xf numFmtId="167" fontId="32" fillId="0" borderId="2" xfId="3" applyNumberFormat="1" applyFont="1" applyBorder="1" applyAlignment="1">
      <alignment horizontal="center" vertical="center"/>
    </xf>
    <xf numFmtId="165" fontId="32" fillId="0" borderId="0" xfId="3" applyFont="1" applyFill="1" applyAlignment="1">
      <alignment vertical="center"/>
    </xf>
    <xf numFmtId="165" fontId="32" fillId="0" borderId="2" xfId="3" applyFont="1" applyFill="1" applyBorder="1" applyAlignment="1">
      <alignment horizontal="center" vertical="center"/>
    </xf>
    <xf numFmtId="43" fontId="32" fillId="3" borderId="1" xfId="9" applyNumberFormat="1" applyFill="1" applyBorder="1" applyAlignment="1">
      <alignment vertical="center"/>
    </xf>
    <xf numFmtId="165" fontId="32" fillId="0" borderId="0" xfId="3" applyFont="1" applyFill="1" applyBorder="1" applyAlignment="1">
      <alignment horizontal="center" vertical="center"/>
    </xf>
    <xf numFmtId="0" fontId="34" fillId="0" borderId="25" xfId="9" applyFont="1" applyBorder="1" applyAlignment="1">
      <alignment vertical="center"/>
    </xf>
    <xf numFmtId="0" fontId="32" fillId="0" borderId="26" xfId="9" applyBorder="1" applyAlignment="1">
      <alignment vertical="center"/>
    </xf>
    <xf numFmtId="165" fontId="32" fillId="0" borderId="26" xfId="3" applyFont="1" applyBorder="1" applyAlignment="1">
      <alignment vertical="center"/>
    </xf>
    <xf numFmtId="165" fontId="32" fillId="0" borderId="27" xfId="3" applyFont="1" applyBorder="1" applyAlignment="1">
      <alignment vertical="center"/>
    </xf>
    <xf numFmtId="165" fontId="34" fillId="2" borderId="51" xfId="3" applyFont="1" applyFill="1" applyBorder="1" applyAlignment="1">
      <alignment vertical="center"/>
    </xf>
    <xf numFmtId="0" fontId="35" fillId="0" borderId="8" xfId="9" applyFont="1" applyBorder="1" applyAlignment="1">
      <alignment vertical="center"/>
    </xf>
    <xf numFmtId="0" fontId="35" fillId="0" borderId="9" xfId="9" applyFont="1" applyBorder="1" applyAlignment="1">
      <alignment vertical="center"/>
    </xf>
    <xf numFmtId="43" fontId="35" fillId="0" borderId="9" xfId="9" applyNumberFormat="1" applyFont="1" applyBorder="1" applyAlignment="1">
      <alignment vertical="center"/>
    </xf>
    <xf numFmtId="165" fontId="35" fillId="0" borderId="9" xfId="3" applyFont="1" applyFill="1" applyBorder="1" applyAlignment="1">
      <alignment vertical="center"/>
    </xf>
    <xf numFmtId="165" fontId="35" fillId="0" borderId="10" xfId="3" applyFont="1" applyBorder="1" applyAlignment="1">
      <alignment vertical="center"/>
    </xf>
    <xf numFmtId="0" fontId="16" fillId="0" borderId="0" xfId="58"/>
    <xf numFmtId="0" fontId="16" fillId="0" borderId="22" xfId="58" applyBorder="1" applyAlignment="1">
      <alignment horizontal="center"/>
    </xf>
    <xf numFmtId="2" fontId="61" fillId="0" borderId="12" xfId="58" applyNumberFormat="1" applyFont="1" applyBorder="1" applyAlignment="1">
      <alignment horizontal="right"/>
    </xf>
    <xf numFmtId="0" fontId="16" fillId="0" borderId="36" xfId="58" applyBorder="1" applyAlignment="1">
      <alignment horizontal="center"/>
    </xf>
    <xf numFmtId="2" fontId="61" fillId="0" borderId="37" xfId="58" applyNumberFormat="1" applyFont="1" applyBorder="1" applyAlignment="1">
      <alignment horizontal="right"/>
    </xf>
    <xf numFmtId="2" fontId="16" fillId="0" borderId="0" xfId="58" applyNumberFormat="1"/>
    <xf numFmtId="2" fontId="61" fillId="0" borderId="1" xfId="25" applyNumberFormat="1" applyFont="1" applyBorder="1"/>
    <xf numFmtId="0" fontId="16" fillId="0" borderId="8" xfId="25" applyFont="1" applyBorder="1"/>
    <xf numFmtId="174" fontId="0" fillId="0" borderId="0" xfId="3" applyNumberFormat="1" applyFont="1" applyAlignment="1">
      <alignment vertical="center"/>
    </xf>
    <xf numFmtId="20" fontId="14" fillId="0" borderId="22" xfId="58" applyNumberFormat="1" applyFont="1" applyBorder="1"/>
    <xf numFmtId="20" fontId="14" fillId="0" borderId="36" xfId="58" applyNumberFormat="1" applyFont="1" applyBorder="1"/>
    <xf numFmtId="0" fontId="14" fillId="0" borderId="22" xfId="58" applyFont="1" applyBorder="1"/>
    <xf numFmtId="0" fontId="14" fillId="0" borderId="36" xfId="58" applyFont="1" applyBorder="1"/>
    <xf numFmtId="165" fontId="34" fillId="0" borderId="9" xfId="9" applyNumberFormat="1" applyFont="1" applyBorder="1" applyAlignment="1">
      <alignment vertical="center"/>
    </xf>
    <xf numFmtId="165" fontId="32" fillId="0" borderId="9" xfId="9" applyNumberFormat="1" applyBorder="1" applyAlignment="1">
      <alignment vertical="center"/>
    </xf>
    <xf numFmtId="168" fontId="32" fillId="0" borderId="1" xfId="9" applyNumberFormat="1" applyBorder="1" applyAlignment="1">
      <alignment vertical="center"/>
    </xf>
    <xf numFmtId="4" fontId="32" fillId="0" borderId="9" xfId="9" applyNumberFormat="1" applyBorder="1" applyAlignment="1">
      <alignment horizontal="centerContinuous" vertical="center"/>
    </xf>
    <xf numFmtId="165" fontId="32" fillId="0" borderId="19" xfId="3" applyFont="1" applyBorder="1" applyAlignment="1">
      <alignment vertical="center"/>
    </xf>
    <xf numFmtId="165" fontId="32" fillId="0" borderId="11" xfId="3" applyFont="1" applyBorder="1" applyAlignment="1">
      <alignment vertical="center"/>
    </xf>
    <xf numFmtId="0" fontId="32" fillId="0" borderId="11" xfId="9" applyBorder="1" applyAlignment="1">
      <alignment vertical="center"/>
    </xf>
    <xf numFmtId="1" fontId="32" fillId="0" borderId="12" xfId="3" applyNumberFormat="1" applyFont="1" applyBorder="1" applyAlignment="1">
      <alignment horizontal="center" vertical="center"/>
    </xf>
    <xf numFmtId="0" fontId="32" fillId="0" borderId="9" xfId="9" applyBorder="1" applyAlignment="1">
      <alignment vertical="center"/>
    </xf>
    <xf numFmtId="4" fontId="34" fillId="0" borderId="29" xfId="9" applyNumberFormat="1" applyFont="1" applyBorder="1" applyAlignment="1">
      <alignment vertical="center"/>
    </xf>
    <xf numFmtId="0" fontId="32" fillId="0" borderId="29" xfId="9" applyBorder="1" applyAlignment="1">
      <alignment vertical="center"/>
    </xf>
    <xf numFmtId="4" fontId="34" fillId="0" borderId="0" xfId="9" applyNumberFormat="1" applyFont="1" applyAlignment="1">
      <alignment vertical="center"/>
    </xf>
    <xf numFmtId="165" fontId="32" fillId="0" borderId="40" xfId="3" applyFont="1" applyBorder="1" applyAlignment="1">
      <alignment vertical="center"/>
    </xf>
    <xf numFmtId="165" fontId="32" fillId="0" borderId="41" xfId="3" applyFont="1" applyBorder="1" applyAlignment="1">
      <alignment vertical="center"/>
    </xf>
    <xf numFmtId="0" fontId="32" fillId="0" borderId="41" xfId="9" applyBorder="1" applyAlignment="1">
      <alignment vertical="center"/>
    </xf>
    <xf numFmtId="1" fontId="32" fillId="0" borderId="37" xfId="3" applyNumberFormat="1" applyFont="1" applyBorder="1" applyAlignment="1">
      <alignment horizontal="center" vertical="center"/>
    </xf>
    <xf numFmtId="1" fontId="32" fillId="0" borderId="0" xfId="3" applyNumberFormat="1" applyFont="1" applyBorder="1" applyAlignment="1">
      <alignment horizontal="center" vertical="center"/>
    </xf>
    <xf numFmtId="167" fontId="34" fillId="0" borderId="0" xfId="3" applyNumberFormat="1" applyFont="1" applyBorder="1" applyAlignment="1">
      <alignment horizontal="center" vertical="center"/>
    </xf>
    <xf numFmtId="0" fontId="34" fillId="0" borderId="3" xfId="9" applyFont="1" applyBorder="1" applyAlignment="1">
      <alignment vertical="center"/>
    </xf>
    <xf numFmtId="0" fontId="34" fillId="0" borderId="0" xfId="9" applyFont="1" applyAlignment="1">
      <alignment horizontal="center" vertical="center"/>
    </xf>
    <xf numFmtId="0" fontId="32" fillId="3" borderId="1" xfId="9" applyFill="1" applyBorder="1" applyAlignment="1">
      <alignment horizontal="center" vertical="center"/>
    </xf>
    <xf numFmtId="2" fontId="32" fillId="3" borderId="1" xfId="9" applyNumberFormat="1" applyFill="1" applyBorder="1" applyAlignment="1">
      <alignment horizontal="center" vertical="center"/>
    </xf>
    <xf numFmtId="2" fontId="32" fillId="0" borderId="1" xfId="3" applyNumberFormat="1" applyFont="1" applyBorder="1" applyAlignment="1">
      <alignment horizontal="center" vertical="center"/>
    </xf>
    <xf numFmtId="0" fontId="33" fillId="0" borderId="0" xfId="9" applyFont="1" applyAlignment="1">
      <alignment vertical="center"/>
    </xf>
    <xf numFmtId="0" fontId="34" fillId="0" borderId="1" xfId="9" applyFont="1" applyBorder="1" applyAlignment="1">
      <alignment vertical="center"/>
    </xf>
    <xf numFmtId="0" fontId="34" fillId="0" borderId="9" xfId="9" applyFont="1" applyBorder="1" applyAlignment="1">
      <alignment horizontal="center" vertical="center"/>
    </xf>
    <xf numFmtId="174" fontId="32" fillId="0" borderId="0" xfId="3" applyNumberFormat="1" applyFont="1" applyBorder="1" applyAlignment="1">
      <alignment vertical="center"/>
    </xf>
    <xf numFmtId="0" fontId="32" fillId="0" borderId="0" xfId="9" applyAlignment="1">
      <alignment horizontal="right" vertical="center"/>
    </xf>
    <xf numFmtId="165" fontId="32" fillId="3" borderId="0" xfId="3" applyFont="1" applyFill="1" applyAlignment="1">
      <alignment vertical="center"/>
    </xf>
    <xf numFmtId="0" fontId="32" fillId="3" borderId="0" xfId="9" applyFill="1" applyAlignment="1">
      <alignment vertical="center"/>
    </xf>
    <xf numFmtId="166" fontId="32" fillId="0" borderId="1" xfId="3" applyNumberFormat="1" applyFont="1" applyBorder="1" applyAlignment="1">
      <alignment vertical="center"/>
    </xf>
    <xf numFmtId="166" fontId="32" fillId="0" borderId="1" xfId="3" applyNumberFormat="1" applyFont="1" applyFill="1" applyBorder="1" applyAlignment="1">
      <alignment vertical="center"/>
    </xf>
    <xf numFmtId="0" fontId="44" fillId="2" borderId="17" xfId="9" applyFont="1" applyFill="1" applyBorder="1" applyAlignment="1">
      <alignment horizontal="center" vertical="center" wrapText="1"/>
    </xf>
    <xf numFmtId="13" fontId="32" fillId="3" borderId="1" xfId="9" applyNumberFormat="1" applyFill="1" applyBorder="1" applyAlignment="1">
      <alignment horizontal="center" vertical="center"/>
    </xf>
    <xf numFmtId="1" fontId="32" fillId="0" borderId="1" xfId="9" applyNumberFormat="1" applyBorder="1" applyAlignment="1">
      <alignment horizontal="center" vertical="center"/>
    </xf>
    <xf numFmtId="43" fontId="32" fillId="0" borderId="0" xfId="9" applyNumberFormat="1" applyAlignment="1">
      <alignment vertical="center"/>
    </xf>
    <xf numFmtId="0" fontId="34" fillId="0" borderId="54" xfId="9" applyFont="1" applyBorder="1" applyAlignment="1">
      <alignment vertical="center"/>
    </xf>
    <xf numFmtId="0" fontId="34" fillId="0" borderId="54" xfId="9" applyFont="1" applyBorder="1" applyAlignment="1">
      <alignment horizontal="center" vertical="center"/>
    </xf>
    <xf numFmtId="165" fontId="32" fillId="6" borderId="1" xfId="3" applyFont="1" applyFill="1" applyBorder="1" applyAlignment="1">
      <alignment vertical="center"/>
    </xf>
    <xf numFmtId="0" fontId="34" fillId="0" borderId="1" xfId="9" applyFont="1" applyBorder="1" applyAlignment="1">
      <alignment horizontal="center" vertical="center"/>
    </xf>
    <xf numFmtId="0" fontId="33" fillId="0" borderId="0" xfId="9" applyFont="1" applyAlignment="1">
      <alignment horizontal="left" vertical="center" wrapText="1"/>
    </xf>
    <xf numFmtId="0" fontId="44" fillId="2" borderId="32" xfId="9" applyFont="1" applyFill="1" applyBorder="1" applyAlignment="1">
      <alignment horizontal="center" vertical="center"/>
    </xf>
    <xf numFmtId="0" fontId="44" fillId="2" borderId="33" xfId="9" applyFont="1" applyFill="1" applyBorder="1" applyAlignment="1">
      <alignment horizontal="center" vertical="center"/>
    </xf>
    <xf numFmtId="165" fontId="32" fillId="0" borderId="1" xfId="9" applyNumberFormat="1" applyBorder="1" applyAlignment="1">
      <alignment horizontal="center" vertical="center"/>
    </xf>
    <xf numFmtId="0" fontId="32" fillId="0" borderId="0" xfId="9" applyAlignment="1">
      <alignment horizontal="center" vertical="center"/>
    </xf>
    <xf numFmtId="3" fontId="32" fillId="0" borderId="0" xfId="9" applyNumberFormat="1" applyAlignment="1">
      <alignment vertical="center"/>
    </xf>
    <xf numFmtId="3" fontId="32" fillId="3" borderId="1" xfId="9" applyNumberFormat="1" applyFill="1" applyBorder="1" applyAlignment="1">
      <alignment vertical="center"/>
    </xf>
    <xf numFmtId="4" fontId="32" fillId="3" borderId="2" xfId="9" applyNumberFormat="1" applyFill="1" applyBorder="1" applyAlignment="1">
      <alignment horizontal="center" vertical="center"/>
    </xf>
    <xf numFmtId="4" fontId="32" fillId="3" borderId="1" xfId="9" applyNumberFormat="1" applyFill="1" applyBorder="1" applyAlignment="1">
      <alignment horizontal="center" vertical="center"/>
    </xf>
    <xf numFmtId="0" fontId="32" fillId="3" borderId="2" xfId="9" applyFill="1" applyBorder="1" applyAlignment="1">
      <alignment horizontal="center" vertical="center"/>
    </xf>
    <xf numFmtId="3" fontId="32" fillId="3" borderId="1" xfId="9" applyNumberFormat="1" applyFill="1" applyBorder="1" applyAlignment="1">
      <alignment horizontal="center" vertical="center"/>
    </xf>
    <xf numFmtId="166" fontId="32" fillId="0" borderId="0" xfId="9" applyNumberFormat="1" applyAlignment="1">
      <alignment vertical="center"/>
    </xf>
    <xf numFmtId="0" fontId="41" fillId="0" borderId="1" xfId="9" applyFont="1" applyBorder="1" applyAlignment="1">
      <alignment horizontal="center" vertical="center"/>
    </xf>
    <xf numFmtId="0" fontId="42" fillId="0" borderId="0" xfId="9" applyFont="1" applyAlignment="1">
      <alignment vertical="center"/>
    </xf>
    <xf numFmtId="0" fontId="35" fillId="0" borderId="0" xfId="9" applyFont="1" applyAlignment="1">
      <alignment vertical="center"/>
    </xf>
    <xf numFmtId="43" fontId="35" fillId="0" borderId="0" xfId="9" applyNumberFormat="1" applyFont="1" applyAlignment="1">
      <alignment vertical="center"/>
    </xf>
    <xf numFmtId="165" fontId="35" fillId="0" borderId="0" xfId="3" applyFont="1" applyFill="1" applyBorder="1" applyAlignment="1">
      <alignment vertical="center"/>
    </xf>
    <xf numFmtId="0" fontId="64" fillId="0" borderId="0" xfId="0" applyFont="1" applyAlignment="1">
      <alignment vertical="center"/>
    </xf>
    <xf numFmtId="0" fontId="61" fillId="0" borderId="33" xfId="58" applyFont="1" applyBorder="1" applyAlignment="1">
      <alignment horizontal="center" vertical="center"/>
    </xf>
    <xf numFmtId="0" fontId="61" fillId="0" borderId="13" xfId="58" applyFont="1" applyBorder="1" applyAlignment="1">
      <alignment horizontal="center" vertical="center" wrapText="1"/>
    </xf>
    <xf numFmtId="0" fontId="61" fillId="0" borderId="32" xfId="58" applyFont="1" applyBorder="1" applyAlignment="1">
      <alignment horizontal="center" vertical="center"/>
    </xf>
    <xf numFmtId="0" fontId="61" fillId="0" borderId="33" xfId="58" applyFont="1" applyBorder="1" applyAlignment="1">
      <alignment horizontal="center" vertical="center" wrapText="1"/>
    </xf>
    <xf numFmtId="0" fontId="61" fillId="0" borderId="0" xfId="58" applyFont="1" applyAlignment="1">
      <alignment horizontal="center" vertical="center"/>
    </xf>
    <xf numFmtId="0" fontId="16" fillId="0" borderId="0" xfId="58" applyAlignment="1">
      <alignment horizontal="center" vertical="center" wrapText="1"/>
    </xf>
    <xf numFmtId="0" fontId="16" fillId="0" borderId="0" xfId="58" applyAlignment="1">
      <alignment horizontal="center"/>
    </xf>
    <xf numFmtId="0" fontId="14" fillId="0" borderId="0" xfId="58" applyFont="1"/>
    <xf numFmtId="20" fontId="14" fillId="0" borderId="0" xfId="58" applyNumberFormat="1" applyFont="1"/>
    <xf numFmtId="2" fontId="61" fillId="0" borderId="0" xfId="58" applyNumberFormat="1" applyFont="1" applyAlignment="1">
      <alignment horizontal="right"/>
    </xf>
    <xf numFmtId="0" fontId="32" fillId="4" borderId="0" xfId="0" applyFont="1" applyFill="1" applyAlignment="1">
      <alignment vertical="center"/>
    </xf>
    <xf numFmtId="4" fontId="0" fillId="4" borderId="0" xfId="0" applyNumberFormat="1" applyFill="1" applyAlignment="1">
      <alignment vertical="center"/>
    </xf>
    <xf numFmtId="165" fontId="0" fillId="4" borderId="0" xfId="3" applyFont="1" applyFill="1" applyAlignment="1">
      <alignment vertical="center"/>
    </xf>
    <xf numFmtId="9" fontId="34" fillId="0" borderId="7" xfId="2" applyFont="1" applyFill="1" applyBorder="1" applyAlignment="1">
      <alignment vertical="center"/>
    </xf>
    <xf numFmtId="0" fontId="32" fillId="0" borderId="2" xfId="0" applyFont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65" fontId="32" fillId="0" borderId="1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6" xfId="0" applyFont="1" applyBorder="1" applyAlignment="1">
      <alignment vertical="center"/>
    </xf>
    <xf numFmtId="0" fontId="35" fillId="4" borderId="5" xfId="0" applyFont="1" applyFill="1" applyBorder="1" applyAlignment="1">
      <alignment vertical="center"/>
    </xf>
    <xf numFmtId="0" fontId="35" fillId="4" borderId="6" xfId="0" applyFont="1" applyFill="1" applyBorder="1" applyAlignment="1">
      <alignment vertical="center"/>
    </xf>
    <xf numFmtId="165" fontId="35" fillId="4" borderId="6" xfId="3" applyFont="1" applyFill="1" applyBorder="1" applyAlignment="1">
      <alignment vertical="center"/>
    </xf>
    <xf numFmtId="165" fontId="35" fillId="4" borderId="7" xfId="3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165" fontId="36" fillId="4" borderId="0" xfId="3" applyFont="1" applyFill="1" applyAlignment="1">
      <alignment vertical="center"/>
    </xf>
    <xf numFmtId="165" fontId="32" fillId="4" borderId="0" xfId="3" applyFont="1" applyFill="1" applyAlignment="1">
      <alignment vertical="center"/>
    </xf>
    <xf numFmtId="0" fontId="32" fillId="4" borderId="8" xfId="0" applyFont="1" applyFill="1" applyBorder="1" applyAlignment="1">
      <alignment vertical="center"/>
    </xf>
    <xf numFmtId="0" fontId="32" fillId="4" borderId="9" xfId="0" applyFont="1" applyFill="1" applyBorder="1" applyAlignment="1">
      <alignment vertical="center"/>
    </xf>
    <xf numFmtId="165" fontId="32" fillId="4" borderId="9" xfId="3" applyFont="1" applyFill="1" applyBorder="1" applyAlignment="1">
      <alignment vertical="center"/>
    </xf>
    <xf numFmtId="165" fontId="32" fillId="4" borderId="10" xfId="3" applyFont="1" applyFill="1" applyBorder="1" applyAlignment="1">
      <alignment vertical="center"/>
    </xf>
    <xf numFmtId="0" fontId="34" fillId="4" borderId="5" xfId="0" applyFont="1" applyFill="1" applyBorder="1" applyAlignment="1">
      <alignment vertical="center"/>
    </xf>
    <xf numFmtId="0" fontId="34" fillId="4" borderId="6" xfId="0" applyFont="1" applyFill="1" applyBorder="1" applyAlignment="1">
      <alignment vertical="center"/>
    </xf>
    <xf numFmtId="165" fontId="34" fillId="4" borderId="6" xfId="3" applyFont="1" applyFill="1" applyBorder="1" applyAlignment="1">
      <alignment vertical="center"/>
    </xf>
    <xf numFmtId="165" fontId="34" fillId="4" borderId="7" xfId="3" applyFont="1" applyFill="1" applyBorder="1" applyAlignment="1">
      <alignment horizontal="right" vertical="center"/>
    </xf>
    <xf numFmtId="165" fontId="34" fillId="4" borderId="4" xfId="3" applyFont="1" applyFill="1" applyBorder="1" applyAlignment="1">
      <alignment horizontal="right" vertical="center"/>
    </xf>
    <xf numFmtId="0" fontId="34" fillId="4" borderId="0" xfId="0" applyFont="1" applyFill="1" applyAlignment="1">
      <alignment vertical="center"/>
    </xf>
    <xf numFmtId="165" fontId="34" fillId="4" borderId="0" xfId="3" applyFont="1" applyFill="1" applyBorder="1" applyAlignment="1">
      <alignment vertical="center"/>
    </xf>
    <xf numFmtId="0" fontId="65" fillId="4" borderId="0" xfId="0" applyFont="1" applyFill="1" applyAlignment="1">
      <alignment vertical="center"/>
    </xf>
    <xf numFmtId="0" fontId="66" fillId="4" borderId="5" xfId="0" applyFont="1" applyFill="1" applyBorder="1" applyAlignment="1">
      <alignment horizontal="left" vertical="center"/>
    </xf>
    <xf numFmtId="0" fontId="32" fillId="4" borderId="6" xfId="0" applyFont="1" applyFill="1" applyBorder="1" applyAlignment="1">
      <alignment vertical="center"/>
    </xf>
    <xf numFmtId="165" fontId="32" fillId="4" borderId="6" xfId="3" applyFont="1" applyFill="1" applyBorder="1" applyAlignment="1">
      <alignment vertical="center"/>
    </xf>
    <xf numFmtId="165" fontId="32" fillId="4" borderId="7" xfId="3" applyFont="1" applyFill="1" applyBorder="1" applyAlignment="1">
      <alignment vertical="center"/>
    </xf>
    <xf numFmtId="0" fontId="65" fillId="4" borderId="0" xfId="0" applyFont="1" applyFill="1" applyAlignment="1">
      <alignment horizontal="center" vertical="center"/>
    </xf>
    <xf numFmtId="165" fontId="32" fillId="4" borderId="0" xfId="3" applyFont="1" applyFill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21" fillId="0" borderId="0" xfId="46"/>
    <xf numFmtId="0" fontId="21" fillId="0" borderId="0" xfId="46" applyAlignment="1">
      <alignment wrapText="1"/>
    </xf>
    <xf numFmtId="0" fontId="21" fillId="0" borderId="0" xfId="46" applyAlignment="1">
      <alignment horizontal="center"/>
    </xf>
    <xf numFmtId="2" fontId="21" fillId="0" borderId="0" xfId="46" applyNumberFormat="1" applyAlignment="1">
      <alignment horizontal="center"/>
    </xf>
    <xf numFmtId="0" fontId="21" fillId="0" borderId="23" xfId="46" applyBorder="1" applyAlignment="1">
      <alignment horizontal="center"/>
    </xf>
    <xf numFmtId="0" fontId="21" fillId="0" borderId="1" xfId="46" applyBorder="1" applyAlignment="1">
      <alignment horizontal="center"/>
    </xf>
    <xf numFmtId="0" fontId="21" fillId="0" borderId="20" xfId="46" applyBorder="1" applyAlignment="1">
      <alignment horizontal="center"/>
    </xf>
    <xf numFmtId="0" fontId="7" fillId="0" borderId="14" xfId="46" applyFont="1" applyBorder="1" applyAlignment="1">
      <alignment horizontal="center"/>
    </xf>
    <xf numFmtId="4" fontId="0" fillId="0" borderId="1" xfId="47" applyNumberFormat="1" applyFont="1" applyFill="1" applyBorder="1" applyAlignment="1">
      <alignment horizontal="right"/>
    </xf>
    <xf numFmtId="0" fontId="21" fillId="0" borderId="20" xfId="46" applyBorder="1"/>
    <xf numFmtId="49" fontId="21" fillId="0" borderId="1" xfId="46" applyNumberFormat="1" applyBorder="1" applyAlignment="1">
      <alignment horizontal="center"/>
    </xf>
    <xf numFmtId="4" fontId="0" fillId="0" borderId="1" xfId="47" applyNumberFormat="1" applyFont="1" applyBorder="1" applyAlignment="1">
      <alignment horizontal="right"/>
    </xf>
    <xf numFmtId="2" fontId="21" fillId="0" borderId="1" xfId="46" applyNumberFormat="1" applyBorder="1"/>
    <xf numFmtId="2" fontId="21" fillId="0" borderId="23" xfId="46" applyNumberFormat="1" applyBorder="1" applyAlignment="1">
      <alignment horizontal="center"/>
    </xf>
    <xf numFmtId="0" fontId="7" fillId="0" borderId="1" xfId="46" applyFont="1" applyBorder="1" applyAlignment="1">
      <alignment horizontal="center" vertical="center"/>
    </xf>
    <xf numFmtId="1" fontId="21" fillId="0" borderId="1" xfId="46" applyNumberFormat="1" applyBorder="1" applyAlignment="1">
      <alignment horizontal="right" vertical="center"/>
    </xf>
    <xf numFmtId="0" fontId="21" fillId="0" borderId="1" xfId="46" applyBorder="1" applyAlignment="1">
      <alignment horizontal="left" vertical="center"/>
    </xf>
    <xf numFmtId="2" fontId="21" fillId="0" borderId="20" xfId="46" applyNumberFormat="1" applyBorder="1"/>
    <xf numFmtId="0" fontId="21" fillId="0" borderId="0" xfId="46" applyAlignment="1">
      <alignment horizontal="left"/>
    </xf>
    <xf numFmtId="2" fontId="21" fillId="0" borderId="0" xfId="46" applyNumberFormat="1"/>
    <xf numFmtId="175" fontId="0" fillId="0" borderId="1" xfId="47" applyNumberFormat="1" applyFont="1" applyBorder="1" applyAlignment="1">
      <alignment horizontal="right"/>
    </xf>
    <xf numFmtId="2" fontId="21" fillId="0" borderId="9" xfId="46" applyNumberFormat="1" applyBorder="1"/>
    <xf numFmtId="0" fontId="21" fillId="0" borderId="14" xfId="46" applyBorder="1" applyAlignment="1">
      <alignment horizontal="right"/>
    </xf>
    <xf numFmtId="2" fontId="61" fillId="0" borderId="1" xfId="47" applyNumberFormat="1" applyFont="1" applyBorder="1"/>
    <xf numFmtId="0" fontId="61" fillId="0" borderId="20" xfId="46" applyFont="1" applyBorder="1"/>
    <xf numFmtId="2" fontId="7" fillId="0" borderId="23" xfId="46" applyNumberFormat="1" applyFont="1" applyBorder="1" applyAlignment="1">
      <alignment horizontal="center"/>
    </xf>
    <xf numFmtId="175" fontId="61" fillId="0" borderId="0" xfId="46" applyNumberFormat="1" applyFont="1" applyAlignment="1">
      <alignment horizontal="center"/>
    </xf>
    <xf numFmtId="0" fontId="61" fillId="0" borderId="0" xfId="46" applyFont="1" applyAlignment="1">
      <alignment horizontal="right"/>
    </xf>
    <xf numFmtId="2" fontId="61" fillId="0" borderId="0" xfId="46" applyNumberFormat="1" applyFont="1"/>
    <xf numFmtId="2" fontId="61" fillId="0" borderId="1" xfId="46" applyNumberFormat="1" applyFont="1" applyBorder="1"/>
    <xf numFmtId="2" fontId="61" fillId="0" borderId="20" xfId="46" applyNumberFormat="1" applyFont="1" applyBorder="1"/>
    <xf numFmtId="2" fontId="21" fillId="0" borderId="0" xfId="46" applyNumberFormat="1" applyAlignment="1">
      <alignment horizontal="right"/>
    </xf>
    <xf numFmtId="2" fontId="61" fillId="0" borderId="36" xfId="47" applyNumberFormat="1" applyFont="1" applyBorder="1"/>
    <xf numFmtId="0" fontId="61" fillId="0" borderId="37" xfId="46" applyFont="1" applyBorder="1"/>
    <xf numFmtId="4" fontId="61" fillId="0" borderId="36" xfId="46" applyNumberFormat="1" applyFont="1" applyBorder="1"/>
    <xf numFmtId="2" fontId="61" fillId="0" borderId="37" xfId="46" applyNumberFormat="1" applyFont="1" applyBorder="1"/>
    <xf numFmtId="2" fontId="61" fillId="0" borderId="0" xfId="46" applyNumberFormat="1" applyFont="1" applyAlignment="1">
      <alignment horizontal="right"/>
    </xf>
    <xf numFmtId="2" fontId="61" fillId="0" borderId="18" xfId="59" applyNumberFormat="1" applyFont="1" applyBorder="1"/>
    <xf numFmtId="0" fontId="61" fillId="0" borderId="33" xfId="0" applyFont="1" applyBorder="1" applyAlignment="1">
      <alignment horizontal="center"/>
    </xf>
    <xf numFmtId="2" fontId="6" fillId="0" borderId="18" xfId="59" applyNumberFormat="1" applyFont="1" applyBorder="1" applyAlignment="1">
      <alignment vertical="center"/>
    </xf>
    <xf numFmtId="0" fontId="61" fillId="0" borderId="13" xfId="0" applyFont="1" applyBorder="1" applyAlignment="1">
      <alignment horizontal="center"/>
    </xf>
    <xf numFmtId="0" fontId="61" fillId="0" borderId="59" xfId="0" applyFont="1" applyBorder="1"/>
    <xf numFmtId="0" fontId="61" fillId="0" borderId="65" xfId="0" applyFont="1" applyBorder="1"/>
    <xf numFmtId="0" fontId="0" fillId="0" borderId="58" xfId="0" applyBorder="1"/>
    <xf numFmtId="0" fontId="0" fillId="0" borderId="12" xfId="0" applyBorder="1"/>
    <xf numFmtId="0" fontId="0" fillId="0" borderId="63" xfId="0" applyBorder="1"/>
    <xf numFmtId="0" fontId="0" fillId="0" borderId="37" xfId="0" applyBorder="1"/>
    <xf numFmtId="4" fontId="61" fillId="0" borderId="17" xfId="59" applyNumberFormat="1" applyFont="1" applyBorder="1"/>
    <xf numFmtId="0" fontId="16" fillId="0" borderId="16" xfId="58" applyBorder="1" applyAlignment="1">
      <alignment horizontal="center" vertical="center"/>
    </xf>
    <xf numFmtId="0" fontId="9" fillId="0" borderId="17" xfId="58" applyFont="1" applyBorder="1" applyAlignment="1">
      <alignment vertical="center"/>
    </xf>
    <xf numFmtId="20" fontId="14" fillId="0" borderId="17" xfId="58" applyNumberFormat="1" applyFont="1" applyBorder="1" applyAlignment="1">
      <alignment vertical="center"/>
    </xf>
    <xf numFmtId="2" fontId="61" fillId="0" borderId="18" xfId="58" applyNumberFormat="1" applyFont="1" applyBorder="1" applyAlignment="1">
      <alignment horizontal="right" vertical="center"/>
    </xf>
    <xf numFmtId="0" fontId="6" fillId="0" borderId="17" xfId="58" applyFont="1" applyBorder="1" applyAlignment="1">
      <alignment horizontal="center" vertical="center" wrapText="1"/>
    </xf>
    <xf numFmtId="20" fontId="30" fillId="0" borderId="0" xfId="25" applyNumberFormat="1"/>
    <xf numFmtId="4" fontId="32" fillId="0" borderId="1" xfId="47" applyNumberFormat="1" applyFont="1" applyBorder="1" applyAlignment="1">
      <alignment horizontal="right"/>
    </xf>
    <xf numFmtId="0" fontId="61" fillId="0" borderId="16" xfId="58" applyFont="1" applyBorder="1" applyAlignment="1">
      <alignment horizontal="center" vertical="center" wrapText="1"/>
    </xf>
    <xf numFmtId="4" fontId="0" fillId="0" borderId="1" xfId="0" applyNumberFormat="1" applyBorder="1"/>
    <xf numFmtId="43" fontId="0" fillId="0" borderId="1" xfId="0" applyNumberFormat="1" applyBorder="1"/>
    <xf numFmtId="165" fontId="32" fillId="3" borderId="6" xfId="3" applyFont="1" applyFill="1" applyBorder="1" applyAlignment="1">
      <alignment vertical="center"/>
    </xf>
    <xf numFmtId="0" fontId="62" fillId="0" borderId="0" xfId="66" applyFont="1"/>
    <xf numFmtId="0" fontId="5" fillId="0" borderId="0" xfId="66"/>
    <xf numFmtId="0" fontId="61" fillId="0" borderId="0" xfId="66" applyFont="1"/>
    <xf numFmtId="0" fontId="5" fillId="0" borderId="1" xfId="66" applyBorder="1"/>
    <xf numFmtId="0" fontId="61" fillId="0" borderId="1" xfId="66" applyFont="1" applyBorder="1" applyAlignment="1">
      <alignment horizontal="center"/>
    </xf>
    <xf numFmtId="0" fontId="5" fillId="0" borderId="1" xfId="66" applyBorder="1" applyAlignment="1">
      <alignment horizontal="center"/>
    </xf>
    <xf numFmtId="17" fontId="5" fillId="0" borderId="0" xfId="66" applyNumberFormat="1" applyAlignment="1">
      <alignment horizontal="center"/>
    </xf>
    <xf numFmtId="178" fontId="0" fillId="0" borderId="1" xfId="67" applyNumberFormat="1" applyFont="1" applyBorder="1" applyAlignment="1">
      <alignment horizontal="center"/>
    </xf>
    <xf numFmtId="17" fontId="5" fillId="0" borderId="1" xfId="66" applyNumberFormat="1" applyBorder="1" applyAlignment="1">
      <alignment horizontal="center"/>
    </xf>
    <xf numFmtId="178" fontId="0" fillId="0" borderId="1" xfId="67" applyNumberFormat="1" applyFont="1" applyBorder="1" applyAlignment="1">
      <alignment horizontal="right"/>
    </xf>
    <xf numFmtId="165" fontId="32" fillId="0" borderId="1" xfId="3" applyFont="1" applyBorder="1"/>
    <xf numFmtId="165" fontId="32" fillId="0" borderId="0" xfId="3" applyFont="1" applyBorder="1"/>
    <xf numFmtId="43" fontId="5" fillId="0" borderId="0" xfId="66" applyNumberFormat="1"/>
    <xf numFmtId="178" fontId="0" fillId="0" borderId="1" xfId="67" applyNumberFormat="1" applyFont="1" applyBorder="1" applyAlignment="1"/>
    <xf numFmtId="0" fontId="61" fillId="0" borderId="1" xfId="66" applyFont="1" applyBorder="1"/>
    <xf numFmtId="0" fontId="5" fillId="0" borderId="1" xfId="66" applyBorder="1" applyAlignment="1">
      <alignment horizontal="right"/>
    </xf>
    <xf numFmtId="43" fontId="5" fillId="0" borderId="1" xfId="66" applyNumberFormat="1" applyBorder="1"/>
    <xf numFmtId="43" fontId="0" fillId="0" borderId="0" xfId="67" applyFont="1"/>
    <xf numFmtId="165" fontId="5" fillId="0" borderId="0" xfId="3" applyFont="1"/>
    <xf numFmtId="43" fontId="34" fillId="0" borderId="0" xfId="52" applyFont="1" applyBorder="1" applyAlignment="1"/>
    <xf numFmtId="43" fontId="61" fillId="0" borderId="1" xfId="51" applyNumberFormat="1" applyFont="1" applyBorder="1" applyAlignment="1">
      <alignment horizontal="center"/>
    </xf>
    <xf numFmtId="165" fontId="0" fillId="3" borderId="0" xfId="0" applyNumberFormat="1" applyFill="1"/>
    <xf numFmtId="165" fontId="0" fillId="0" borderId="0" xfId="3" applyFont="1" applyFill="1" applyAlignment="1">
      <alignment vertical="center"/>
    </xf>
    <xf numFmtId="43" fontId="0" fillId="0" borderId="0" xfId="0" applyNumberFormat="1" applyAlignment="1">
      <alignment vertical="center"/>
    </xf>
    <xf numFmtId="2" fontId="6" fillId="0" borderId="17" xfId="59" applyNumberFormat="1" applyFont="1" applyBorder="1" applyAlignment="1">
      <alignment vertical="center"/>
    </xf>
    <xf numFmtId="168" fontId="32" fillId="0" borderId="3" xfId="9" applyNumberFormat="1" applyBorder="1" applyAlignment="1">
      <alignment vertical="center"/>
    </xf>
    <xf numFmtId="168" fontId="34" fillId="0" borderId="3" xfId="9" applyNumberFormat="1" applyFont="1" applyBorder="1" applyAlignment="1">
      <alignment vertical="center"/>
    </xf>
    <xf numFmtId="165" fontId="34" fillId="0" borderId="65" xfId="3" applyFont="1" applyBorder="1" applyAlignment="1">
      <alignment horizontal="right" vertical="center"/>
    </xf>
    <xf numFmtId="1" fontId="32" fillId="0" borderId="1" xfId="3" applyNumberFormat="1" applyFont="1" applyBorder="1" applyAlignment="1">
      <alignment horizontal="center" vertical="center"/>
    </xf>
    <xf numFmtId="1" fontId="34" fillId="0" borderId="37" xfId="3" applyNumberFormat="1" applyFont="1" applyBorder="1" applyAlignment="1">
      <alignment horizontal="center" vertical="center"/>
    </xf>
    <xf numFmtId="173" fontId="32" fillId="0" borderId="0" xfId="9" applyNumberFormat="1" applyAlignment="1">
      <alignment vertical="center"/>
    </xf>
    <xf numFmtId="1" fontId="32" fillId="3" borderId="1" xfId="9" applyNumberFormat="1" applyFill="1" applyBorder="1" applyAlignment="1">
      <alignment horizontal="center" vertical="center"/>
    </xf>
    <xf numFmtId="1" fontId="32" fillId="0" borderId="2" xfId="9" applyNumberFormat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165" fontId="32" fillId="0" borderId="0" xfId="0" applyNumberFormat="1" applyFont="1" applyAlignment="1">
      <alignment vertical="center"/>
    </xf>
    <xf numFmtId="0" fontId="32" fillId="3" borderId="0" xfId="0" applyFont="1" applyFill="1" applyAlignment="1">
      <alignment vertical="center"/>
    </xf>
    <xf numFmtId="44" fontId="32" fillId="0" borderId="0" xfId="0" applyNumberFormat="1" applyFont="1" applyAlignment="1">
      <alignment vertical="center"/>
    </xf>
    <xf numFmtId="13" fontId="32" fillId="3" borderId="1" xfId="9" applyNumberFormat="1" applyFill="1" applyBorder="1" applyAlignment="1">
      <alignment vertical="center"/>
    </xf>
    <xf numFmtId="1" fontId="34" fillId="0" borderId="1" xfId="9" applyNumberFormat="1" applyFont="1" applyBorder="1" applyAlignment="1">
      <alignment horizontal="center" vertical="center"/>
    </xf>
    <xf numFmtId="44" fontId="34" fillId="0" borderId="1" xfId="6" applyFont="1" applyBorder="1" applyAlignment="1">
      <alignment horizontal="center" vertical="center"/>
    </xf>
    <xf numFmtId="44" fontId="69" fillId="11" borderId="4" xfId="6" applyFont="1" applyFill="1" applyBorder="1" applyAlignment="1">
      <alignment horizontal="center" vertical="center"/>
    </xf>
    <xf numFmtId="166" fontId="32" fillId="3" borderId="1" xfId="3" applyNumberFormat="1" applyFont="1" applyFill="1" applyBorder="1" applyAlignment="1">
      <alignment horizontal="center" vertical="center"/>
    </xf>
    <xf numFmtId="0" fontId="57" fillId="0" borderId="0" xfId="9" applyFont="1" applyAlignment="1">
      <alignment vertical="center"/>
    </xf>
    <xf numFmtId="165" fontId="57" fillId="0" borderId="0" xfId="3" applyFont="1" applyAlignment="1">
      <alignment vertical="center"/>
    </xf>
    <xf numFmtId="0" fontId="69" fillId="11" borderId="5" xfId="9" applyFont="1" applyFill="1" applyBorder="1" applyAlignment="1">
      <alignment vertical="center"/>
    </xf>
    <xf numFmtId="0" fontId="69" fillId="11" borderId="6" xfId="9" applyFont="1" applyFill="1" applyBorder="1" applyAlignment="1">
      <alignment vertical="center"/>
    </xf>
    <xf numFmtId="165" fontId="69" fillId="11" borderId="6" xfId="3" applyFont="1" applyFill="1" applyBorder="1" applyAlignment="1">
      <alignment vertical="center"/>
    </xf>
    <xf numFmtId="165" fontId="69" fillId="11" borderId="7" xfId="3" applyFont="1" applyFill="1" applyBorder="1" applyAlignment="1">
      <alignment vertical="center"/>
    </xf>
    <xf numFmtId="44" fontId="69" fillId="11" borderId="4" xfId="6" applyFont="1" applyFill="1" applyBorder="1" applyAlignment="1">
      <alignment vertical="center"/>
    </xf>
    <xf numFmtId="0" fontId="70" fillId="0" borderId="0" xfId="9" applyFont="1" applyAlignment="1">
      <alignment vertical="center"/>
    </xf>
    <xf numFmtId="165" fontId="70" fillId="0" borderId="0" xfId="3" applyFont="1" applyAlignment="1">
      <alignment vertical="center"/>
    </xf>
    <xf numFmtId="0" fontId="4" fillId="0" borderId="18" xfId="58" applyFont="1" applyBorder="1" applyAlignment="1">
      <alignment horizontal="center" vertical="center" wrapText="1"/>
    </xf>
    <xf numFmtId="165" fontId="0" fillId="0" borderId="0" xfId="3" applyFont="1"/>
    <xf numFmtId="0" fontId="3" fillId="0" borderId="14" xfId="46" applyFont="1" applyBorder="1" applyAlignment="1">
      <alignment horizontal="center"/>
    </xf>
    <xf numFmtId="0" fontId="3" fillId="0" borderId="0" xfId="46" applyFont="1"/>
    <xf numFmtId="0" fontId="72" fillId="0" borderId="0" xfId="46" applyFont="1"/>
    <xf numFmtId="2" fontId="7" fillId="0" borderId="14" xfId="46" applyNumberFormat="1" applyFont="1" applyBorder="1" applyAlignment="1">
      <alignment horizontal="center"/>
    </xf>
    <xf numFmtId="1" fontId="21" fillId="0" borderId="9" xfId="46" applyNumberFormat="1" applyBorder="1" applyAlignment="1">
      <alignment horizontal="right" vertical="center"/>
    </xf>
    <xf numFmtId="0" fontId="21" fillId="0" borderId="9" xfId="46" applyBorder="1" applyAlignment="1">
      <alignment horizontal="left" vertical="center"/>
    </xf>
    <xf numFmtId="2" fontId="21" fillId="0" borderId="15" xfId="46" applyNumberFormat="1" applyBorder="1"/>
    <xf numFmtId="2" fontId="3" fillId="0" borderId="23" xfId="46" applyNumberFormat="1" applyFont="1" applyBorder="1" applyAlignment="1">
      <alignment horizontal="center"/>
    </xf>
    <xf numFmtId="0" fontId="3" fillId="0" borderId="1" xfId="46" applyFont="1" applyBorder="1" applyAlignment="1">
      <alignment horizontal="center" vertical="center"/>
    </xf>
    <xf numFmtId="4" fontId="21" fillId="0" borderId="0" xfId="46" applyNumberFormat="1"/>
    <xf numFmtId="0" fontId="7" fillId="0" borderId="9" xfId="46" applyFont="1" applyBorder="1" applyAlignment="1">
      <alignment horizontal="center" vertical="center"/>
    </xf>
    <xf numFmtId="179" fontId="37" fillId="0" borderId="0" xfId="0" applyNumberFormat="1" applyFont="1" applyAlignment="1">
      <alignment vertical="center"/>
    </xf>
    <xf numFmtId="165" fontId="30" fillId="0" borderId="0" xfId="3" applyFont="1"/>
    <xf numFmtId="0" fontId="34" fillId="0" borderId="0" xfId="9" applyFont="1" applyFill="1" applyAlignment="1">
      <alignment vertical="center"/>
    </xf>
    <xf numFmtId="2" fontId="37" fillId="0" borderId="1" xfId="0" applyNumberFormat="1" applyFont="1" applyBorder="1" applyAlignment="1">
      <alignment horizontal="center" vertical="center"/>
    </xf>
    <xf numFmtId="2" fontId="32" fillId="0" borderId="1" xfId="9" applyNumberFormat="1" applyBorder="1" applyAlignment="1">
      <alignment horizontal="center" vertical="center"/>
    </xf>
    <xf numFmtId="2" fontId="32" fillId="3" borderId="1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vertical="center"/>
    </xf>
    <xf numFmtId="166" fontId="36" fillId="3" borderId="20" xfId="3" applyNumberFormat="1" applyFont="1" applyFill="1" applyBorder="1"/>
    <xf numFmtId="0" fontId="34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165" fontId="34" fillId="0" borderId="14" xfId="3" applyFont="1" applyBorder="1" applyAlignment="1">
      <alignment horizontal="left" vertical="center"/>
    </xf>
    <xf numFmtId="165" fontId="34" fillId="0" borderId="9" xfId="3" applyFont="1" applyBorder="1" applyAlignment="1">
      <alignment horizontal="left" vertical="center"/>
    </xf>
    <xf numFmtId="0" fontId="46" fillId="8" borderId="25" xfId="0" applyFont="1" applyFill="1" applyBorder="1" applyAlignment="1">
      <alignment horizontal="center" vertical="center"/>
    </xf>
    <xf numFmtId="0" fontId="46" fillId="8" borderId="26" xfId="0" applyFont="1" applyFill="1" applyBorder="1" applyAlignment="1">
      <alignment horizontal="center" vertical="center"/>
    </xf>
    <xf numFmtId="0" fontId="46" fillId="8" borderId="27" xfId="0" applyFont="1" applyFill="1" applyBorder="1" applyAlignment="1">
      <alignment horizontal="center" vertical="center"/>
    </xf>
    <xf numFmtId="0" fontId="38" fillId="8" borderId="44" xfId="0" applyFont="1" applyFill="1" applyBorder="1" applyAlignment="1">
      <alignment horizontal="center" vertical="center"/>
    </xf>
    <xf numFmtId="0" fontId="38" fillId="8" borderId="42" xfId="0" applyFont="1" applyFill="1" applyBorder="1" applyAlignment="1">
      <alignment horizontal="center" vertical="center"/>
    </xf>
    <xf numFmtId="0" fontId="38" fillId="8" borderId="45" xfId="0" applyFont="1" applyFill="1" applyBorder="1" applyAlignment="1">
      <alignment horizontal="center" vertical="center"/>
    </xf>
    <xf numFmtId="165" fontId="34" fillId="0" borderId="5" xfId="3" applyFont="1" applyBorder="1" applyAlignment="1">
      <alignment horizontal="center" vertical="center"/>
    </xf>
    <xf numFmtId="165" fontId="34" fillId="0" borderId="6" xfId="3" applyFont="1" applyBorder="1" applyAlignment="1">
      <alignment horizontal="center" vertical="center"/>
    </xf>
    <xf numFmtId="165" fontId="34" fillId="0" borderId="43" xfId="3" applyFont="1" applyBorder="1" applyAlignment="1">
      <alignment horizontal="center" vertical="center"/>
    </xf>
    <xf numFmtId="165" fontId="35" fillId="8" borderId="5" xfId="3" applyFont="1" applyFill="1" applyBorder="1" applyAlignment="1">
      <alignment horizontal="center" vertical="center"/>
    </xf>
    <xf numFmtId="165" fontId="35" fillId="8" borderId="6" xfId="3" applyFont="1" applyFill="1" applyBorder="1" applyAlignment="1">
      <alignment horizontal="center" vertical="center"/>
    </xf>
    <xf numFmtId="165" fontId="35" fillId="8" borderId="7" xfId="3" applyFont="1" applyFill="1" applyBorder="1" applyAlignment="1">
      <alignment horizontal="center" vertical="center"/>
    </xf>
    <xf numFmtId="0" fontId="70" fillId="0" borderId="0" xfId="9" applyFont="1" applyAlignment="1">
      <alignment horizontal="center" vertical="center"/>
    </xf>
    <xf numFmtId="0" fontId="69" fillId="11" borderId="5" xfId="9" applyFont="1" applyFill="1" applyBorder="1" applyAlignment="1">
      <alignment horizontal="left" vertical="center"/>
    </xf>
    <xf numFmtId="0" fontId="69" fillId="11" borderId="6" xfId="9" applyFont="1" applyFill="1" applyBorder="1" applyAlignment="1">
      <alignment horizontal="left" vertical="center"/>
    </xf>
    <xf numFmtId="0" fontId="69" fillId="11" borderId="7" xfId="9" applyFont="1" applyFill="1" applyBorder="1" applyAlignment="1">
      <alignment horizontal="left" vertical="center"/>
    </xf>
    <xf numFmtId="0" fontId="46" fillId="8" borderId="25" xfId="9" applyFont="1" applyFill="1" applyBorder="1" applyAlignment="1">
      <alignment horizontal="center" vertical="center"/>
    </xf>
    <xf numFmtId="0" fontId="46" fillId="8" borderId="26" xfId="9" applyFont="1" applyFill="1" applyBorder="1" applyAlignment="1">
      <alignment horizontal="center" vertical="center"/>
    </xf>
    <xf numFmtId="0" fontId="46" fillId="8" borderId="27" xfId="9" applyFont="1" applyFill="1" applyBorder="1" applyAlignment="1">
      <alignment horizontal="center" vertical="center"/>
    </xf>
    <xf numFmtId="0" fontId="38" fillId="8" borderId="44" xfId="9" applyFont="1" applyFill="1" applyBorder="1" applyAlignment="1">
      <alignment horizontal="center" vertical="center"/>
    </xf>
    <xf numFmtId="0" fontId="38" fillId="8" borderId="42" xfId="9" applyFont="1" applyFill="1" applyBorder="1" applyAlignment="1">
      <alignment horizontal="center" vertical="center"/>
    </xf>
    <xf numFmtId="0" fontId="38" fillId="8" borderId="45" xfId="9" applyFont="1" applyFill="1" applyBorder="1" applyAlignment="1">
      <alignment horizontal="center" vertical="center"/>
    </xf>
    <xf numFmtId="165" fontId="32" fillId="0" borderId="19" xfId="3" applyFont="1" applyBorder="1" applyAlignment="1">
      <alignment horizontal="left" vertical="center"/>
    </xf>
    <xf numFmtId="165" fontId="32" fillId="0" borderId="11" xfId="3" applyFont="1" applyBorder="1" applyAlignment="1">
      <alignment horizontal="left" vertical="center"/>
    </xf>
    <xf numFmtId="165" fontId="32" fillId="0" borderId="58" xfId="3" applyFont="1" applyBorder="1" applyAlignment="1">
      <alignment horizontal="left" vertical="center"/>
    </xf>
    <xf numFmtId="165" fontId="32" fillId="0" borderId="14" xfId="3" applyFont="1" applyBorder="1" applyAlignment="1">
      <alignment horizontal="left" vertical="center"/>
    </xf>
    <xf numFmtId="165" fontId="32" fillId="0" borderId="9" xfId="3" applyFont="1" applyBorder="1" applyAlignment="1">
      <alignment horizontal="left" vertical="center"/>
    </xf>
    <xf numFmtId="165" fontId="32" fillId="0" borderId="10" xfId="3" applyFont="1" applyBorder="1" applyAlignment="1">
      <alignment horizontal="left" vertical="center"/>
    </xf>
    <xf numFmtId="165" fontId="34" fillId="0" borderId="40" xfId="3" applyFont="1" applyBorder="1" applyAlignment="1">
      <alignment horizontal="left" vertical="center"/>
    </xf>
    <xf numFmtId="165" fontId="34" fillId="0" borderId="41" xfId="3" applyFont="1" applyBorder="1" applyAlignment="1">
      <alignment horizontal="left" vertical="center"/>
    </xf>
    <xf numFmtId="165" fontId="34" fillId="0" borderId="66" xfId="3" applyFont="1" applyBorder="1" applyAlignment="1">
      <alignment horizontal="left" vertical="center"/>
    </xf>
    <xf numFmtId="0" fontId="34" fillId="0" borderId="32" xfId="9" applyFont="1" applyBorder="1" applyAlignment="1">
      <alignment horizontal="center" vertical="center"/>
    </xf>
    <xf numFmtId="0" fontId="34" fillId="0" borderId="33" xfId="9" applyFont="1" applyBorder="1" applyAlignment="1">
      <alignment horizontal="center" vertical="center"/>
    </xf>
    <xf numFmtId="0" fontId="68" fillId="4" borderId="0" xfId="0" applyFont="1" applyFill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165" fontId="67" fillId="4" borderId="0" xfId="3" applyFont="1" applyFill="1" applyAlignment="1">
      <alignment horizontal="center" vertical="center"/>
    </xf>
    <xf numFmtId="165" fontId="68" fillId="4" borderId="0" xfId="3" applyFont="1" applyFill="1" applyAlignment="1">
      <alignment horizontal="center" vertical="center"/>
    </xf>
    <xf numFmtId="0" fontId="46" fillId="8" borderId="21" xfId="0" applyFont="1" applyFill="1" applyBorder="1" applyAlignment="1">
      <alignment horizontal="center" vertical="center"/>
    </xf>
    <xf numFmtId="0" fontId="46" fillId="8" borderId="22" xfId="0" applyFont="1" applyFill="1" applyBorder="1" applyAlignment="1">
      <alignment horizontal="center" vertical="center"/>
    </xf>
    <xf numFmtId="0" fontId="46" fillId="8" borderId="12" xfId="0" applyFont="1" applyFill="1" applyBorder="1" applyAlignment="1">
      <alignment horizontal="center" vertical="center"/>
    </xf>
    <xf numFmtId="0" fontId="46" fillId="10" borderId="19" xfId="0" applyFont="1" applyFill="1" applyBorder="1" applyAlignment="1">
      <alignment horizontal="center"/>
    </xf>
    <xf numFmtId="0" fontId="46" fillId="10" borderId="46" xfId="0" applyFont="1" applyFill="1" applyBorder="1" applyAlignment="1">
      <alignment horizontal="center"/>
    </xf>
    <xf numFmtId="0" fontId="37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36" fillId="0" borderId="1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9" fontId="38" fillId="0" borderId="21" xfId="2" applyFont="1" applyBorder="1" applyAlignment="1">
      <alignment horizontal="center"/>
    </xf>
    <xf numFmtId="9" fontId="38" fillId="0" borderId="22" xfId="2" applyFont="1" applyBorder="1" applyAlignment="1">
      <alignment horizontal="center"/>
    </xf>
    <xf numFmtId="9" fontId="38" fillId="0" borderId="12" xfId="2" applyFont="1" applyBorder="1" applyAlignment="1">
      <alignment horizontal="center"/>
    </xf>
    <xf numFmtId="0" fontId="35" fillId="10" borderId="25" xfId="0" applyFont="1" applyFill="1" applyBorder="1" applyAlignment="1">
      <alignment horizontal="center" vertical="center"/>
    </xf>
    <xf numFmtId="0" fontId="35" fillId="10" borderId="26" xfId="0" applyFont="1" applyFill="1" applyBorder="1" applyAlignment="1">
      <alignment horizontal="center" vertical="center"/>
    </xf>
    <xf numFmtId="0" fontId="35" fillId="10" borderId="27" xfId="0" applyFont="1" applyFill="1" applyBorder="1" applyAlignment="1">
      <alignment horizontal="center" vertical="center"/>
    </xf>
    <xf numFmtId="0" fontId="61" fillId="0" borderId="8" xfId="66" applyFont="1" applyBorder="1" applyAlignment="1">
      <alignment horizontal="center"/>
    </xf>
    <xf numFmtId="0" fontId="61" fillId="0" borderId="9" xfId="66" applyFont="1" applyBorder="1" applyAlignment="1">
      <alignment horizontal="center"/>
    </xf>
    <xf numFmtId="0" fontId="61" fillId="0" borderId="10" xfId="66" applyFont="1" applyBorder="1" applyAlignment="1">
      <alignment horizontal="center"/>
    </xf>
    <xf numFmtId="0" fontId="61" fillId="0" borderId="8" xfId="51" applyFont="1" applyBorder="1" applyAlignment="1">
      <alignment horizontal="center"/>
    </xf>
    <xf numFmtId="0" fontId="61" fillId="0" borderId="10" xfId="51" applyFont="1" applyBorder="1" applyAlignment="1">
      <alignment horizontal="center"/>
    </xf>
    <xf numFmtId="0" fontId="61" fillId="0" borderId="21" xfId="58" applyFont="1" applyBorder="1" applyAlignment="1">
      <alignment horizontal="center" vertical="center"/>
    </xf>
    <xf numFmtId="0" fontId="61" fillId="0" borderId="24" xfId="58" applyFont="1" applyBorder="1" applyAlignment="1">
      <alignment horizontal="center" vertical="center"/>
    </xf>
    <xf numFmtId="0" fontId="16" fillId="0" borderId="33" xfId="58" applyBorder="1" applyAlignment="1">
      <alignment horizontal="center" vertical="center"/>
    </xf>
    <xf numFmtId="0" fontId="16" fillId="0" borderId="57" xfId="58" applyBorder="1" applyAlignment="1">
      <alignment horizontal="center" vertical="center"/>
    </xf>
    <xf numFmtId="0" fontId="6" fillId="0" borderId="33" xfId="58" applyFont="1" applyBorder="1" applyAlignment="1">
      <alignment horizontal="center" vertical="center" wrapText="1"/>
    </xf>
    <xf numFmtId="0" fontId="16" fillId="0" borderId="57" xfId="58" applyBorder="1" applyAlignment="1">
      <alignment horizontal="center" vertical="center" wrapText="1"/>
    </xf>
    <xf numFmtId="0" fontId="1" fillId="0" borderId="33" xfId="58" applyFont="1" applyBorder="1" applyAlignment="1">
      <alignment horizontal="center" vertical="center" wrapText="1"/>
    </xf>
    <xf numFmtId="0" fontId="61" fillId="0" borderId="21" xfId="58" applyFont="1" applyFill="1" applyBorder="1" applyAlignment="1">
      <alignment horizontal="center" vertical="center"/>
    </xf>
    <xf numFmtId="0" fontId="61" fillId="0" borderId="47" xfId="58" applyFont="1" applyFill="1" applyBorder="1" applyAlignment="1">
      <alignment horizontal="center" vertical="center"/>
    </xf>
    <xf numFmtId="0" fontId="2" fillId="0" borderId="33" xfId="58" applyFont="1" applyBorder="1" applyAlignment="1">
      <alignment horizontal="center" vertical="center" wrapText="1"/>
    </xf>
    <xf numFmtId="0" fontId="16" fillId="0" borderId="59" xfId="58" applyBorder="1" applyAlignment="1">
      <alignment horizontal="center" vertical="center" wrapText="1"/>
    </xf>
    <xf numFmtId="0" fontId="61" fillId="0" borderId="47" xfId="58" applyFont="1" applyBorder="1" applyAlignment="1">
      <alignment horizontal="center" vertical="center"/>
    </xf>
    <xf numFmtId="0" fontId="14" fillId="0" borderId="33" xfId="58" applyFont="1" applyBorder="1" applyAlignment="1">
      <alignment horizontal="center" vertical="center" wrapText="1"/>
    </xf>
    <xf numFmtId="0" fontId="10" fillId="0" borderId="33" xfId="58" applyFont="1" applyBorder="1" applyAlignment="1">
      <alignment horizontal="center" vertical="center" wrapText="1"/>
    </xf>
    <xf numFmtId="0" fontId="21" fillId="0" borderId="25" xfId="46" applyBorder="1" applyAlignment="1">
      <alignment horizontal="center"/>
    </xf>
    <xf numFmtId="0" fontId="21" fillId="0" borderId="26" xfId="46" applyBorder="1" applyAlignment="1">
      <alignment horizontal="center"/>
    </xf>
    <xf numFmtId="0" fontId="21" fillId="0" borderId="27" xfId="46" applyBorder="1" applyAlignment="1">
      <alignment horizontal="center"/>
    </xf>
    <xf numFmtId="0" fontId="21" fillId="0" borderId="28" xfId="46" applyBorder="1" applyAlignment="1">
      <alignment horizontal="center"/>
    </xf>
    <xf numFmtId="0" fontId="21" fillId="0" borderId="29" xfId="46" applyBorder="1" applyAlignment="1">
      <alignment horizontal="center"/>
    </xf>
    <xf numFmtId="0" fontId="21" fillId="0" borderId="30" xfId="46" applyBorder="1" applyAlignment="1">
      <alignment horizontal="center"/>
    </xf>
    <xf numFmtId="0" fontId="61" fillId="0" borderId="16" xfId="46" applyFont="1" applyBorder="1" applyAlignment="1">
      <alignment horizontal="center"/>
    </xf>
    <xf numFmtId="0" fontId="61" fillId="0" borderId="17" xfId="46" applyFont="1" applyBorder="1" applyAlignment="1">
      <alignment horizontal="center"/>
    </xf>
    <xf numFmtId="0" fontId="61" fillId="0" borderId="18" xfId="46" applyFont="1" applyBorder="1" applyAlignment="1">
      <alignment horizontal="center"/>
    </xf>
    <xf numFmtId="0" fontId="3" fillId="0" borderId="21" xfId="46" applyFont="1" applyBorder="1" applyAlignment="1">
      <alignment horizontal="center"/>
    </xf>
    <xf numFmtId="0" fontId="21" fillId="0" borderId="22" xfId="46" applyBorder="1" applyAlignment="1">
      <alignment horizontal="center"/>
    </xf>
    <xf numFmtId="0" fontId="21" fillId="0" borderId="12" xfId="46" applyBorder="1" applyAlignment="1">
      <alignment horizontal="center"/>
    </xf>
    <xf numFmtId="0" fontId="21" fillId="0" borderId="24" xfId="46" applyBorder="1" applyAlignment="1">
      <alignment horizontal="right"/>
    </xf>
    <xf numFmtId="0" fontId="21" fillId="0" borderId="36" xfId="46" applyBorder="1" applyAlignment="1">
      <alignment horizontal="right"/>
    </xf>
    <xf numFmtId="0" fontId="61" fillId="0" borderId="21" xfId="46" applyFont="1" applyBorder="1" applyAlignment="1">
      <alignment horizontal="center"/>
    </xf>
    <xf numFmtId="0" fontId="61" fillId="0" borderId="22" xfId="46" applyFont="1" applyBorder="1" applyAlignment="1">
      <alignment horizontal="center"/>
    </xf>
    <xf numFmtId="0" fontId="61" fillId="0" borderId="12" xfId="46" applyFont="1" applyBorder="1" applyAlignment="1">
      <alignment horizontal="center"/>
    </xf>
    <xf numFmtId="0" fontId="21" fillId="0" borderId="40" xfId="46" applyBorder="1" applyAlignment="1">
      <alignment horizontal="center"/>
    </xf>
    <xf numFmtId="0" fontId="21" fillId="0" borderId="41" xfId="46" applyBorder="1" applyAlignment="1">
      <alignment horizontal="center"/>
    </xf>
    <xf numFmtId="0" fontId="21" fillId="0" borderId="60" xfId="46" applyBorder="1" applyAlignment="1">
      <alignment horizontal="center"/>
    </xf>
    <xf numFmtId="0" fontId="7" fillId="0" borderId="21" xfId="46" applyFont="1" applyBorder="1" applyAlignment="1">
      <alignment horizontal="center"/>
    </xf>
    <xf numFmtId="2" fontId="61" fillId="0" borderId="5" xfId="59" applyNumberFormat="1" applyFont="1" applyBorder="1" applyAlignment="1">
      <alignment horizontal="center" vertical="center" wrapText="1"/>
    </xf>
    <xf numFmtId="2" fontId="61" fillId="0" borderId="6" xfId="59" applyNumberFormat="1" applyFont="1" applyBorder="1" applyAlignment="1">
      <alignment horizontal="center" vertical="center" wrapText="1"/>
    </xf>
    <xf numFmtId="2" fontId="61" fillId="0" borderId="43" xfId="59" applyNumberFormat="1" applyFont="1" applyBorder="1" applyAlignment="1">
      <alignment horizontal="center" vertical="center" wrapText="1"/>
    </xf>
    <xf numFmtId="0" fontId="61" fillId="0" borderId="5" xfId="46" applyFont="1" applyBorder="1" applyAlignment="1">
      <alignment horizontal="center"/>
    </xf>
    <xf numFmtId="0" fontId="61" fillId="0" borderId="6" xfId="46" applyFont="1" applyBorder="1" applyAlignment="1">
      <alignment horizontal="center"/>
    </xf>
    <xf numFmtId="0" fontId="61" fillId="0" borderId="7" xfId="46" applyFont="1" applyBorder="1" applyAlignment="1">
      <alignment horizontal="center"/>
    </xf>
    <xf numFmtId="0" fontId="61" fillId="0" borderId="5" xfId="46" applyFont="1" applyBorder="1" applyAlignment="1">
      <alignment horizontal="center" wrapText="1"/>
    </xf>
    <xf numFmtId="0" fontId="61" fillId="0" borderId="6" xfId="46" applyFont="1" applyBorder="1" applyAlignment="1">
      <alignment horizontal="center" wrapText="1"/>
    </xf>
    <xf numFmtId="0" fontId="61" fillId="0" borderId="7" xfId="46" applyFont="1" applyBorder="1" applyAlignment="1">
      <alignment horizontal="center" wrapText="1"/>
    </xf>
    <xf numFmtId="0" fontId="21" fillId="0" borderId="5" xfId="46" applyBorder="1" applyAlignment="1">
      <alignment horizontal="center"/>
    </xf>
    <xf numFmtId="0" fontId="21" fillId="0" borderId="6" xfId="46" applyBorder="1" applyAlignment="1">
      <alignment horizontal="center"/>
    </xf>
    <xf numFmtId="0" fontId="21" fillId="0" borderId="7" xfId="46" applyBorder="1" applyAlignment="1">
      <alignment horizontal="center"/>
    </xf>
    <xf numFmtId="0" fontId="21" fillId="0" borderId="5" xfId="46" applyBorder="1" applyAlignment="1">
      <alignment horizontal="center" wrapText="1"/>
    </xf>
    <xf numFmtId="0" fontId="21" fillId="0" borderId="6" xfId="46" applyBorder="1" applyAlignment="1">
      <alignment horizontal="center" wrapText="1"/>
    </xf>
    <xf numFmtId="0" fontId="21" fillId="0" borderId="7" xfId="46" applyBorder="1" applyAlignment="1">
      <alignment horizontal="center" wrapText="1"/>
    </xf>
    <xf numFmtId="0" fontId="73" fillId="0" borderId="5" xfId="46" applyFont="1" applyBorder="1" applyAlignment="1">
      <alignment horizontal="center"/>
    </xf>
    <xf numFmtId="0" fontId="73" fillId="0" borderId="6" xfId="46" applyFont="1" applyBorder="1" applyAlignment="1">
      <alignment horizontal="center"/>
    </xf>
    <xf numFmtId="0" fontId="73" fillId="0" borderId="7" xfId="46" applyFont="1" applyBorder="1" applyAlignment="1">
      <alignment horizontal="center"/>
    </xf>
    <xf numFmtId="0" fontId="61" fillId="0" borderId="5" xfId="46" applyFont="1" applyBorder="1" applyAlignment="1">
      <alignment horizontal="center" vertical="center" wrapText="1"/>
    </xf>
    <xf numFmtId="0" fontId="61" fillId="0" borderId="6" xfId="46" applyFont="1" applyBorder="1" applyAlignment="1">
      <alignment horizontal="center" vertical="center" wrapText="1"/>
    </xf>
    <xf numFmtId="0" fontId="61" fillId="0" borderId="7" xfId="46" applyFont="1" applyBorder="1" applyAlignment="1">
      <alignment horizontal="center" vertical="center" wrapText="1"/>
    </xf>
    <xf numFmtId="0" fontId="61" fillId="0" borderId="19" xfId="46" applyFont="1" applyBorder="1" applyAlignment="1">
      <alignment horizontal="center"/>
    </xf>
    <xf numFmtId="0" fontId="61" fillId="0" borderId="11" xfId="46" applyFont="1" applyBorder="1" applyAlignment="1">
      <alignment horizontal="center"/>
    </xf>
    <xf numFmtId="0" fontId="61" fillId="0" borderId="46" xfId="46" applyFont="1" applyBorder="1" applyAlignment="1">
      <alignment horizontal="center"/>
    </xf>
    <xf numFmtId="2" fontId="21" fillId="0" borderId="21" xfId="46" applyNumberFormat="1" applyBorder="1" applyAlignment="1">
      <alignment horizontal="center" vertical="center"/>
    </xf>
    <xf numFmtId="2" fontId="21" fillId="0" borderId="23" xfId="46" applyNumberFormat="1" applyBorder="1" applyAlignment="1">
      <alignment horizontal="center" vertical="center"/>
    </xf>
    <xf numFmtId="0" fontId="21" fillId="0" borderId="22" xfId="46" applyBorder="1" applyAlignment="1">
      <alignment horizontal="center" vertical="center" wrapText="1"/>
    </xf>
    <xf numFmtId="0" fontId="21" fillId="0" borderId="1" xfId="46" applyBorder="1" applyAlignment="1">
      <alignment horizontal="center" vertical="center" wrapText="1"/>
    </xf>
    <xf numFmtId="0" fontId="21" fillId="0" borderId="24" xfId="46" applyBorder="1" applyAlignment="1">
      <alignment horizontal="center" vertical="center" wrapText="1"/>
    </xf>
    <xf numFmtId="0" fontId="21" fillId="0" borderId="36" xfId="46" applyBorder="1" applyAlignment="1">
      <alignment horizontal="center" vertical="center" wrapText="1"/>
    </xf>
    <xf numFmtId="0" fontId="21" fillId="0" borderId="12" xfId="46" applyBorder="1" applyAlignment="1">
      <alignment horizontal="center" vertical="center" wrapText="1"/>
    </xf>
    <xf numFmtId="0" fontId="21" fillId="0" borderId="20" xfId="46" applyBorder="1" applyAlignment="1">
      <alignment horizontal="center" vertical="center" wrapText="1"/>
    </xf>
    <xf numFmtId="0" fontId="21" fillId="0" borderId="14" xfId="46" applyBorder="1" applyAlignment="1">
      <alignment horizontal="center"/>
    </xf>
    <xf numFmtId="0" fontId="21" fillId="0" borderId="9" xfId="46" applyBorder="1" applyAlignment="1">
      <alignment horizontal="center"/>
    </xf>
    <xf numFmtId="0" fontId="21" fillId="0" borderId="15" xfId="46" applyBorder="1" applyAlignment="1">
      <alignment horizontal="center"/>
    </xf>
    <xf numFmtId="2" fontId="21" fillId="0" borderId="14" xfId="46" applyNumberFormat="1" applyBorder="1" applyAlignment="1">
      <alignment horizontal="center"/>
    </xf>
    <xf numFmtId="2" fontId="21" fillId="0" borderId="9" xfId="46" applyNumberFormat="1" applyBorder="1" applyAlignment="1">
      <alignment horizontal="center"/>
    </xf>
    <xf numFmtId="2" fontId="21" fillId="0" borderId="15" xfId="46" applyNumberFormat="1" applyBorder="1" applyAlignment="1">
      <alignment horizontal="center"/>
    </xf>
    <xf numFmtId="0" fontId="21" fillId="0" borderId="23" xfId="46" applyBorder="1" applyAlignment="1">
      <alignment horizontal="center" vertical="center" wrapText="1"/>
    </xf>
    <xf numFmtId="2" fontId="7" fillId="0" borderId="14" xfId="46" applyNumberFormat="1" applyFont="1" applyBorder="1" applyAlignment="1">
      <alignment horizontal="center"/>
    </xf>
    <xf numFmtId="2" fontId="7" fillId="0" borderId="9" xfId="46" applyNumberFormat="1" applyFont="1" applyBorder="1" applyAlignment="1">
      <alignment horizontal="center"/>
    </xf>
    <xf numFmtId="2" fontId="7" fillId="0" borderId="15" xfId="46" applyNumberFormat="1" applyFont="1" applyBorder="1" applyAlignment="1">
      <alignment horizontal="center"/>
    </xf>
    <xf numFmtId="175" fontId="61" fillId="0" borderId="49" xfId="46" applyNumberFormat="1" applyFont="1" applyBorder="1" applyAlignment="1">
      <alignment horizontal="center"/>
    </xf>
    <xf numFmtId="175" fontId="61" fillId="0" borderId="2" xfId="46" applyNumberFormat="1" applyFont="1" applyBorder="1" applyAlignment="1">
      <alignment horizontal="center"/>
    </xf>
    <xf numFmtId="175" fontId="61" fillId="0" borderId="50" xfId="46" applyNumberFormat="1" applyFont="1" applyBorder="1" applyAlignment="1">
      <alignment horizontal="center"/>
    </xf>
    <xf numFmtId="175" fontId="61" fillId="0" borderId="24" xfId="46" applyNumberFormat="1" applyFont="1" applyBorder="1" applyAlignment="1">
      <alignment horizontal="center"/>
    </xf>
    <xf numFmtId="175" fontId="61" fillId="0" borderId="36" xfId="46" applyNumberFormat="1" applyFont="1" applyBorder="1" applyAlignment="1">
      <alignment horizontal="center"/>
    </xf>
    <xf numFmtId="175" fontId="61" fillId="0" borderId="37" xfId="46" applyNumberFormat="1" applyFont="1" applyBorder="1" applyAlignment="1">
      <alignment horizontal="center"/>
    </xf>
    <xf numFmtId="0" fontId="72" fillId="0" borderId="55" xfId="46" applyFont="1" applyBorder="1" applyAlignment="1">
      <alignment horizontal="center"/>
    </xf>
    <xf numFmtId="0" fontId="72" fillId="0" borderId="56" xfId="46" applyFont="1" applyBorder="1" applyAlignment="1">
      <alignment horizontal="center"/>
    </xf>
    <xf numFmtId="0" fontId="72" fillId="0" borderId="62" xfId="46" applyFont="1" applyBorder="1" applyAlignment="1">
      <alignment horizontal="center"/>
    </xf>
    <xf numFmtId="0" fontId="61" fillId="0" borderId="5" xfId="0" applyFont="1" applyBorder="1" applyAlignment="1">
      <alignment horizontal="center" wrapText="1"/>
    </xf>
    <xf numFmtId="0" fontId="61" fillId="0" borderId="6" xfId="0" applyFont="1" applyBorder="1" applyAlignment="1">
      <alignment horizontal="center" wrapText="1"/>
    </xf>
    <xf numFmtId="0" fontId="61" fillId="0" borderId="7" xfId="0" applyFont="1" applyBorder="1" applyAlignment="1">
      <alignment horizont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1" fillId="0" borderId="25" xfId="0" applyFont="1" applyBorder="1" applyAlignment="1">
      <alignment horizontal="center"/>
    </xf>
    <xf numFmtId="0" fontId="61" fillId="0" borderId="61" xfId="0" applyFont="1" applyBorder="1" applyAlignment="1">
      <alignment horizontal="center"/>
    </xf>
    <xf numFmtId="0" fontId="61" fillId="0" borderId="64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6" xfId="0" applyBorder="1" applyAlignment="1">
      <alignment horizontal="center"/>
    </xf>
    <xf numFmtId="2" fontId="15" fillId="0" borderId="32" xfId="59" applyNumberFormat="1" applyBorder="1" applyAlignment="1">
      <alignment horizontal="center"/>
    </xf>
    <xf numFmtId="2" fontId="15" fillId="0" borderId="61" xfId="59" applyNumberFormat="1" applyBorder="1" applyAlignment="1">
      <alignment horizontal="center"/>
    </xf>
    <xf numFmtId="2" fontId="15" fillId="0" borderId="33" xfId="59" applyNumberFormat="1" applyBorder="1" applyAlignment="1">
      <alignment horizontal="center"/>
    </xf>
    <xf numFmtId="2" fontId="15" fillId="0" borderId="13" xfId="59" applyNumberFormat="1" applyBorder="1" applyAlignment="1">
      <alignment horizontal="center"/>
    </xf>
    <xf numFmtId="2" fontId="15" fillId="0" borderId="38" xfId="59" applyNumberFormat="1" applyBorder="1" applyAlignment="1">
      <alignment horizontal="center" vertical="center" wrapText="1"/>
    </xf>
    <xf numFmtId="2" fontId="15" fillId="0" borderId="0" xfId="59" applyNumberFormat="1" applyAlignment="1">
      <alignment horizontal="center" vertical="center" wrapText="1"/>
    </xf>
    <xf numFmtId="2" fontId="15" fillId="0" borderId="39" xfId="59" applyNumberFormat="1" applyBorder="1" applyAlignment="1">
      <alignment horizontal="center" vertical="center" wrapText="1"/>
    </xf>
    <xf numFmtId="0" fontId="61" fillId="0" borderId="28" xfId="0" applyFont="1" applyBorder="1" applyAlignment="1">
      <alignment horizontal="center"/>
    </xf>
    <xf numFmtId="0" fontId="61" fillId="0" borderId="29" xfId="0" applyFont="1" applyBorder="1" applyAlignment="1">
      <alignment horizontal="center"/>
    </xf>
    <xf numFmtId="0" fontId="61" fillId="0" borderId="63" xfId="0" applyFont="1" applyBorder="1" applyAlignment="1">
      <alignment horizontal="center"/>
    </xf>
    <xf numFmtId="2" fontId="6" fillId="0" borderId="5" xfId="59" applyNumberFormat="1" applyFont="1" applyBorder="1" applyAlignment="1">
      <alignment horizontal="center" vertical="center" wrapText="1"/>
    </xf>
    <xf numFmtId="2" fontId="6" fillId="0" borderId="6" xfId="59" applyNumberFormat="1" applyFont="1" applyBorder="1" applyAlignment="1">
      <alignment horizontal="center" vertical="center" wrapText="1"/>
    </xf>
    <xf numFmtId="2" fontId="6" fillId="0" borderId="43" xfId="59" applyNumberFormat="1" applyFont="1" applyBorder="1" applyAlignment="1">
      <alignment horizontal="center" vertical="center" wrapText="1"/>
    </xf>
    <xf numFmtId="0" fontId="35" fillId="10" borderId="5" xfId="0" applyFont="1" applyFill="1" applyBorder="1" applyAlignment="1">
      <alignment horizontal="center" vertical="center"/>
    </xf>
    <xf numFmtId="0" fontId="35" fillId="10" borderId="6" xfId="0" applyFont="1" applyFill="1" applyBorder="1" applyAlignment="1">
      <alignment horizontal="center" vertical="center"/>
    </xf>
    <xf numFmtId="0" fontId="46" fillId="10" borderId="21" xfId="0" applyFont="1" applyFill="1" applyBorder="1" applyAlignment="1">
      <alignment horizontal="center"/>
    </xf>
    <xf numFmtId="0" fontId="46" fillId="10" borderId="22" xfId="0" applyFont="1" applyFill="1" applyBorder="1" applyAlignment="1">
      <alignment horizontal="center"/>
    </xf>
    <xf numFmtId="0" fontId="46" fillId="10" borderId="12" xfId="0" applyFont="1" applyFill="1" applyBorder="1" applyAlignment="1">
      <alignment horizontal="center"/>
    </xf>
  </cellXfs>
  <cellStyles count="68">
    <cellStyle name="Hiperlink" xfId="1" builtinId="8"/>
    <cellStyle name="Moeda 2" xfId="6"/>
    <cellStyle name="Moeda 3" xfId="7"/>
    <cellStyle name="Moeda 4" xfId="38"/>
    <cellStyle name="Moeda 5" xfId="43"/>
    <cellStyle name="Normal" xfId="0" builtinId="0"/>
    <cellStyle name="Normal 10" xfId="26"/>
    <cellStyle name="Normal 11" xfId="27"/>
    <cellStyle name="Normal 12" xfId="30"/>
    <cellStyle name="Normal 13" xfId="32"/>
    <cellStyle name="Normal 14" xfId="34"/>
    <cellStyle name="Normal 15" xfId="37"/>
    <cellStyle name="Normal 16" xfId="39"/>
    <cellStyle name="Normal 17" xfId="41"/>
    <cellStyle name="Normal 18" xfId="44"/>
    <cellStyle name="Normal 18 2" xfId="63"/>
    <cellStyle name="Normal 19" xfId="46"/>
    <cellStyle name="Normal 2" xfId="8"/>
    <cellStyle name="Normal 2 2" xfId="9"/>
    <cellStyle name="Normal 2 3" xfId="25"/>
    <cellStyle name="Normal 2 3 2" xfId="58"/>
    <cellStyle name="Normal 20" xfId="48"/>
    <cellStyle name="Normal 21" xfId="50"/>
    <cellStyle name="Normal 22" xfId="53"/>
    <cellStyle name="Normal 23" xfId="55"/>
    <cellStyle name="Normal 24" xfId="59"/>
    <cellStyle name="Normal 25" xfId="61"/>
    <cellStyle name="Normal 26" xfId="62"/>
    <cellStyle name="Normal 27" xfId="64"/>
    <cellStyle name="Normal 28" xfId="65"/>
    <cellStyle name="Normal 3" xfId="10"/>
    <cellStyle name="Normal 4" xfId="11"/>
    <cellStyle name="Normal 5" xfId="12"/>
    <cellStyle name="Normal 6" xfId="4"/>
    <cellStyle name="Normal 6 2" xfId="51"/>
    <cellStyle name="Normal 6 3" xfId="57"/>
    <cellStyle name="Normal 6 4" xfId="66"/>
    <cellStyle name="Normal 7" xfId="13"/>
    <cellStyle name="Normal 8" xfId="14"/>
    <cellStyle name="Normal 9" xfId="15"/>
    <cellStyle name="Porcentagem" xfId="2" builtinId="5"/>
    <cellStyle name="Porcentagem 2" xfId="16"/>
    <cellStyle name="Porcentagem 3" xfId="17"/>
    <cellStyle name="Separador de milhares 10" xfId="28"/>
    <cellStyle name="Separador de milhares 11" xfId="31"/>
    <cellStyle name="Separador de milhares 12" xfId="33"/>
    <cellStyle name="Separador de milhares 13" xfId="35"/>
    <cellStyle name="Separador de milhares 14" xfId="36"/>
    <cellStyle name="Separador de milhares 15" xfId="40"/>
    <cellStyle name="Separador de milhares 16" xfId="42"/>
    <cellStyle name="Separador de milhares 17" xfId="45"/>
    <cellStyle name="Separador de milhares 18" xfId="47"/>
    <cellStyle name="Separador de milhares 19" xfId="49"/>
    <cellStyle name="Separador de milhares 2" xfId="18"/>
    <cellStyle name="Separador de milhares 20" xfId="54"/>
    <cellStyle name="Separador de milhares 21" xfId="56"/>
    <cellStyle name="Separador de milhares 22" xfId="60"/>
    <cellStyle name="Separador de milhares 3" xfId="19"/>
    <cellStyle name="Separador de milhares 4" xfId="20"/>
    <cellStyle name="Separador de milhares 5" xfId="5"/>
    <cellStyle name="Separador de milhares 5 2" xfId="52"/>
    <cellStyle name="Separador de milhares 5 3" xfId="67"/>
    <cellStyle name="Separador de milhares 6" xfId="21"/>
    <cellStyle name="Separador de milhares 7" xfId="22"/>
    <cellStyle name="Separador de milhares 8" xfId="23"/>
    <cellStyle name="Separador de milhares 9" xfId="29"/>
    <cellStyle name="Vírgula" xfId="3" builtinId="3"/>
    <cellStyle name="Vírgula 2" xfId="2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360045</xdr:colOff>
      <xdr:row>136</xdr:row>
      <xdr:rowOff>66040</xdr:rowOff>
    </xdr:from>
    <xdr:to>
      <xdr:col>5</xdr:col>
      <xdr:colOff>760095</xdr:colOff>
      <xdr:row>136</xdr:row>
      <xdr:rowOff>66040</xdr:rowOff>
    </xdr:to>
    <xdr:cxnSp macro="">
      <xdr:nvCxnSpPr>
        <xdr:cNvPr id="2" name="Lin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4703445" y="21219160"/>
          <a:ext cx="3280410" cy="0"/>
        </a:xfrm>
        <a:prstGeom prst="line">
          <a:avLst/>
        </a:prstGeom>
        <a:noFill/>
        <a:ln w="10668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>
          <a:extLst>
            <a:ext uri="{FF2B5EF4-FFF2-40B4-BE49-F238E27FC236}">
              <a16:creationId xmlns="" xmlns:a16="http://schemas.microsoft.com/office/drawing/2014/main" id="{00000000-0008-0000-0D00-00006A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>
          <a:extLst>
            <a:ext uri="{FF2B5EF4-FFF2-40B4-BE49-F238E27FC236}">
              <a16:creationId xmlns="" xmlns:a16="http://schemas.microsoft.com/office/drawing/2014/main" id="{00000000-0008-0000-0D00-00006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s\Desktop\2021\Nova%20Prata\Projeto%20B&#225;sico\Planilha%20de%20Custo%20de%20Coleta%20de%20Res&#237;duos%20Nova%20Prata%2022%20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s\Desktop\2019\Arvorezinha\Planilha%20Coleta%20de%20Lixo%20Arvorezinha%2021%2005%20adi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oleta Dom"/>
      <sheetName val="2. Coleta Seletiva"/>
      <sheetName val="3. Transbordo"/>
      <sheetName val="4. Transporte "/>
      <sheetName val="5. Destino Final"/>
      <sheetName val="Resumo"/>
      <sheetName val="6.Enc Sociais"/>
      <sheetName val="7.CAGED"/>
      <sheetName val="8.BDI"/>
      <sheetName val="9. Ton"/>
      <sheetName val="10. Horários"/>
      <sheetName val="11. Roteiros"/>
      <sheetName val="12. Depr"/>
      <sheetName val="13. Rem capital"/>
      <sheetName val="14. Dimens"/>
      <sheetName val="Tab ANP"/>
      <sheetName val="Plan1"/>
    </sheetNames>
    <sheetDataSet>
      <sheetData sheetId="0"/>
      <sheetData sheetId="1">
        <row r="165">
          <cell r="D165">
            <v>35</v>
          </cell>
        </row>
        <row r="169">
          <cell r="D169">
            <v>18</v>
          </cell>
        </row>
        <row r="170">
          <cell r="D170">
            <v>60</v>
          </cell>
        </row>
        <row r="185">
          <cell r="D185">
            <v>25</v>
          </cell>
        </row>
        <row r="189">
          <cell r="A189" t="str">
            <v xml:space="preserve">Máscara de proteção respiratória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oleta Domiciliar"/>
      <sheetName val="1. Coleta Domiciliar Adit 1"/>
      <sheetName val="1. Coleta Domiciliar Seletivo"/>
      <sheetName val="1. Coleta Seleti Adit 1"/>
      <sheetName val="1. Transporte e DF"/>
      <sheetName val="1. Transporte e DF Adit 1"/>
      <sheetName val="Resumo"/>
      <sheetName val="Resumo Adit 1"/>
      <sheetName val="Roteiros"/>
      <sheetName val="Horários"/>
      <sheetName val="2.Encargos Sociais"/>
      <sheetName val="2.Encargos Sociais (2)"/>
      <sheetName val="Feriados "/>
      <sheetName val="3.CAGED"/>
      <sheetName val="4.BDI"/>
      <sheetName val="4.BDI Seletivo"/>
      <sheetName val="4.BDI Transp DF"/>
      <sheetName val="5. Depreciaçã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4">
          <cell r="C34">
            <v>0.4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6"/>
  <sheetViews>
    <sheetView tabSelected="1" topLeftCell="A11" zoomScale="110" zoomScaleNormal="110" zoomScaleSheetLayoutView="100" workbookViewId="0">
      <selection activeCell="A11" sqref="A11"/>
    </sheetView>
  </sheetViews>
  <sheetFormatPr defaultColWidth="9.140625" defaultRowHeight="12.75" x14ac:dyDescent="0.2"/>
  <cols>
    <col min="1" max="1" width="44.5703125" style="9" customWidth="1"/>
    <col min="2" max="2" width="16" style="9" bestFit="1" customWidth="1"/>
    <col min="3" max="3" width="11.85546875" style="9" customWidth="1"/>
    <col min="4" max="4" width="14.7109375" style="10" customWidth="1"/>
    <col min="5" max="5" width="15.42578125" style="10" customWidth="1"/>
    <col min="6" max="6" width="13.28515625" style="10" customWidth="1"/>
    <col min="7" max="7" width="13.85546875" style="10" customWidth="1"/>
    <col min="8" max="8" width="9.140625" style="9"/>
    <col min="9" max="9" width="14.5703125" style="9" customWidth="1"/>
    <col min="10" max="10" width="13.42578125" style="9" customWidth="1"/>
    <col min="11" max="16384" width="9.140625" style="9"/>
  </cols>
  <sheetData>
    <row r="1" spans="1:7" ht="15.75" hidden="1" x14ac:dyDescent="0.2">
      <c r="A1" s="53" t="s">
        <v>192</v>
      </c>
    </row>
    <row r="2" spans="1:7" ht="15.75" hidden="1" x14ac:dyDescent="0.2">
      <c r="A2" s="304" t="s">
        <v>276</v>
      </c>
    </row>
    <row r="3" spans="1:7" ht="15.75" hidden="1" x14ac:dyDescent="0.2">
      <c r="A3" s="304" t="s">
        <v>277</v>
      </c>
    </row>
    <row r="4" spans="1:7" ht="15.75" hidden="1" x14ac:dyDescent="0.2">
      <c r="A4" s="304" t="s">
        <v>279</v>
      </c>
    </row>
    <row r="5" spans="1:7" s="4" customFormat="1" ht="15.6" hidden="1" customHeight="1" x14ac:dyDescent="0.2">
      <c r="A5" s="53" t="s">
        <v>273</v>
      </c>
      <c r="C5" s="5"/>
      <c r="D5" s="5"/>
      <c r="E5" s="5"/>
      <c r="F5" s="5"/>
      <c r="G5" s="6"/>
    </row>
    <row r="6" spans="1:7" s="4" customFormat="1" ht="15.6" hidden="1" customHeight="1" x14ac:dyDescent="0.2">
      <c r="A6" s="275" t="s">
        <v>278</v>
      </c>
      <c r="B6" s="5"/>
      <c r="C6" s="5"/>
      <c r="D6" s="5"/>
      <c r="E6" s="5"/>
      <c r="F6" s="5"/>
      <c r="G6" s="6"/>
    </row>
    <row r="7" spans="1:7" s="4" customFormat="1" ht="15.6" hidden="1" customHeight="1" x14ac:dyDescent="0.2">
      <c r="A7" s="7"/>
      <c r="B7" s="5"/>
      <c r="C7" s="5"/>
      <c r="D7" s="5"/>
      <c r="E7" s="5"/>
      <c r="F7" s="5"/>
      <c r="G7" s="6"/>
    </row>
    <row r="8" spans="1:7" s="4" customFormat="1" ht="15.6" hidden="1" customHeight="1" x14ac:dyDescent="0.2">
      <c r="A8" s="276" t="s">
        <v>284</v>
      </c>
      <c r="B8" s="5"/>
      <c r="C8" s="5"/>
      <c r="D8" s="5"/>
      <c r="E8" s="5"/>
      <c r="F8" s="5"/>
      <c r="G8" s="6"/>
    </row>
    <row r="9" spans="1:7" s="4" customFormat="1" ht="15.6" hidden="1" customHeight="1" x14ac:dyDescent="0.2">
      <c r="A9" s="304" t="s">
        <v>281</v>
      </c>
      <c r="B9" s="5"/>
      <c r="C9" s="5"/>
      <c r="D9" s="5"/>
      <c r="E9" s="5"/>
      <c r="F9" s="5"/>
      <c r="G9" s="6"/>
    </row>
    <row r="10" spans="1:7" s="4" customFormat="1" ht="16.5" hidden="1" customHeight="1" x14ac:dyDescent="0.2">
      <c r="A10" s="7"/>
      <c r="B10" s="5"/>
      <c r="C10" s="5"/>
      <c r="D10" s="6"/>
      <c r="E10" s="6"/>
      <c r="F10" s="6"/>
      <c r="G10" s="6"/>
    </row>
    <row r="11" spans="1:7" s="4" customFormat="1" ht="16.5" customHeight="1" thickBot="1" x14ac:dyDescent="0.25">
      <c r="A11" s="138" t="s">
        <v>504</v>
      </c>
      <c r="B11" s="5"/>
      <c r="C11" s="5"/>
      <c r="D11" s="6"/>
      <c r="E11" s="6"/>
      <c r="F11" s="6"/>
      <c r="G11" s="6"/>
    </row>
    <row r="12" spans="1:7" s="8" customFormat="1" ht="18" x14ac:dyDescent="0.2">
      <c r="A12" s="655" t="s">
        <v>442</v>
      </c>
      <c r="B12" s="656"/>
      <c r="C12" s="656"/>
      <c r="D12" s="656"/>
      <c r="E12" s="656"/>
      <c r="F12" s="657"/>
      <c r="G12" s="35"/>
    </row>
    <row r="13" spans="1:7" s="8" customFormat="1" ht="21.75" customHeight="1" x14ac:dyDescent="0.2">
      <c r="A13" s="658" t="s">
        <v>45</v>
      </c>
      <c r="B13" s="659"/>
      <c r="C13" s="659"/>
      <c r="D13" s="659"/>
      <c r="E13" s="659"/>
      <c r="F13" s="660"/>
      <c r="G13" s="35"/>
    </row>
    <row r="14" spans="1:7" s="4" customFormat="1" ht="10.9" customHeight="1" thickBot="1" x14ac:dyDescent="0.25">
      <c r="A14" s="139"/>
      <c r="B14" s="5"/>
      <c r="C14" s="5"/>
      <c r="D14" s="140"/>
      <c r="E14" s="140"/>
      <c r="F14" s="141"/>
      <c r="G14" s="6"/>
    </row>
    <row r="15" spans="1:7" s="4" customFormat="1" ht="15.75" customHeight="1" thickBot="1" x14ac:dyDescent="0.25">
      <c r="A15" s="664" t="s">
        <v>191</v>
      </c>
      <c r="B15" s="665"/>
      <c r="C15" s="665"/>
      <c r="D15" s="665"/>
      <c r="E15" s="665"/>
      <c r="F15" s="666"/>
      <c r="G15" s="6"/>
    </row>
    <row r="16" spans="1:7" s="4" customFormat="1" ht="15.75" customHeight="1" x14ac:dyDescent="0.2">
      <c r="A16" s="61" t="s">
        <v>190</v>
      </c>
      <c r="B16" s="39"/>
      <c r="C16" s="39"/>
      <c r="D16" s="239"/>
      <c r="E16" s="108" t="s">
        <v>40</v>
      </c>
      <c r="F16" s="40" t="s">
        <v>2</v>
      </c>
      <c r="G16" s="6"/>
    </row>
    <row r="17" spans="1:7" s="11" customFormat="1" ht="15.75" customHeight="1" x14ac:dyDescent="0.2">
      <c r="A17" s="117" t="str">
        <f>A56</f>
        <v>1. Mão-de-obra</v>
      </c>
      <c r="B17" s="118"/>
      <c r="C17" s="119"/>
      <c r="D17" s="119"/>
      <c r="E17" s="236">
        <f>+F154</f>
        <v>24810.211817980784</v>
      </c>
      <c r="F17" s="120">
        <f>IFERROR(E17/$E$39,0)</f>
        <v>0.45988332712185548</v>
      </c>
      <c r="G17" s="43"/>
    </row>
    <row r="18" spans="1:7" s="4" customFormat="1" ht="15.75" hidden="1" customHeight="1" x14ac:dyDescent="0.2">
      <c r="A18" s="48" t="str">
        <f>A58</f>
        <v>1.1. Coletor Turno Dia</v>
      </c>
      <c r="B18" s="44"/>
      <c r="C18" s="46"/>
      <c r="D18" s="46"/>
      <c r="E18" s="237">
        <f>F69</f>
        <v>0</v>
      </c>
      <c r="F18" s="55">
        <f>IFERROR(E18/$E$39,0)</f>
        <v>0</v>
      </c>
      <c r="G18" s="6"/>
    </row>
    <row r="19" spans="1:7" s="4" customFormat="1" ht="15.75" customHeight="1" x14ac:dyDescent="0.2">
      <c r="A19" s="48" t="str">
        <f>A71</f>
        <v xml:space="preserve">1.2. Coletor Turno Dia </v>
      </c>
      <c r="B19" s="44"/>
      <c r="C19" s="46"/>
      <c r="D19" s="46"/>
      <c r="E19" s="237">
        <f>F88</f>
        <v>16031.962293177603</v>
      </c>
      <c r="F19" s="55">
        <f t="shared" ref="F19:F38" si="0">IFERROR(E19/$E$39,0)</f>
        <v>0.29716925489266932</v>
      </c>
      <c r="G19" s="6"/>
    </row>
    <row r="20" spans="1:7" s="4" customFormat="1" ht="15.75" customHeight="1" x14ac:dyDescent="0.2">
      <c r="A20" s="48" t="str">
        <f>A90</f>
        <v>1.2. Encarregado/Supervisor</v>
      </c>
      <c r="B20" s="44"/>
      <c r="C20" s="46"/>
      <c r="D20" s="46"/>
      <c r="E20" s="237">
        <f>F103</f>
        <v>276.68197733400001</v>
      </c>
      <c r="F20" s="55">
        <f t="shared" si="0"/>
        <v>5.1285909699004522E-3</v>
      </c>
      <c r="G20" s="411"/>
    </row>
    <row r="21" spans="1:7" s="4" customFormat="1" ht="15.75" customHeight="1" x14ac:dyDescent="0.2">
      <c r="A21" s="48" t="str">
        <f>A106</f>
        <v xml:space="preserve">1.3. Motorista Turno do dia </v>
      </c>
      <c r="B21" s="44"/>
      <c r="C21" s="46"/>
      <c r="D21" s="46"/>
      <c r="E21" s="237">
        <f>F125</f>
        <v>6188.0770776510017</v>
      </c>
      <c r="F21" s="55">
        <f t="shared" si="0"/>
        <v>0.11470250620327997</v>
      </c>
      <c r="G21" s="6"/>
    </row>
    <row r="22" spans="1:7" s="4" customFormat="1" ht="15.75" customHeight="1" x14ac:dyDescent="0.2">
      <c r="A22" s="48" t="str">
        <f>A127</f>
        <v>1.4. Vale Transporte</v>
      </c>
      <c r="B22" s="44"/>
      <c r="C22" s="46"/>
      <c r="D22" s="46"/>
      <c r="E22" s="237">
        <f>F133</f>
        <v>124.10108800000006</v>
      </c>
      <c r="F22" s="55">
        <f t="shared" si="0"/>
        <v>2.300343973988977E-3</v>
      </c>
      <c r="G22" s="6"/>
    </row>
    <row r="23" spans="1:7" s="4" customFormat="1" ht="15.75" customHeight="1" x14ac:dyDescent="0.2">
      <c r="A23" s="48" t="str">
        <f>A135</f>
        <v>1.5. Vale-refeição (diário)</v>
      </c>
      <c r="B23" s="44"/>
      <c r="C23" s="46"/>
      <c r="D23" s="46"/>
      <c r="E23" s="237">
        <f>F140</f>
        <v>2048.3951999999999</v>
      </c>
      <c r="F23" s="55">
        <f t="shared" si="0"/>
        <v>3.7969155876118856E-2</v>
      </c>
      <c r="G23" s="6"/>
    </row>
    <row r="24" spans="1:7" s="4" customFormat="1" ht="15.75" customHeight="1" x14ac:dyDescent="0.2">
      <c r="A24" s="48" t="str">
        <f>A142</f>
        <v>1.6. Auxílio Alimentação (mensal)</v>
      </c>
      <c r="B24" s="44"/>
      <c r="C24" s="46"/>
      <c r="D24" s="46"/>
      <c r="E24" s="237">
        <f>F146</f>
        <v>65.415999999999997</v>
      </c>
      <c r="F24" s="55">
        <f t="shared" si="0"/>
        <v>1.2125542477311952E-3</v>
      </c>
      <c r="G24" s="6"/>
    </row>
    <row r="25" spans="1:7" s="4" customFormat="1" ht="15.75" customHeight="1" x14ac:dyDescent="0.2">
      <c r="A25" s="48" t="str">
        <f>A148</f>
        <v xml:space="preserve">1.7. Plano de Benefício Social  </v>
      </c>
      <c r="B25" s="44"/>
      <c r="C25" s="46"/>
      <c r="D25" s="46"/>
      <c r="E25" s="237">
        <f>F152</f>
        <v>75.578181818181818</v>
      </c>
      <c r="F25" s="55">
        <f t="shared" ref="F25" si="1">IFERROR(E25/$E$39,0)</f>
        <v>1.4009209581667627E-3</v>
      </c>
      <c r="G25" s="6"/>
    </row>
    <row r="26" spans="1:7" s="11" customFormat="1" ht="15.75" customHeight="1" x14ac:dyDescent="0.2">
      <c r="A26" s="653" t="str">
        <f>A156</f>
        <v>2. Uniformes e Equipamentos de Proteção Individual</v>
      </c>
      <c r="B26" s="654"/>
      <c r="C26" s="654"/>
      <c r="D26" s="119"/>
      <c r="E26" s="236">
        <f>+F188</f>
        <v>498.844696969697</v>
      </c>
      <c r="F26" s="120">
        <f t="shared" si="0"/>
        <v>9.2466102523661945E-3</v>
      </c>
      <c r="G26" s="43"/>
    </row>
    <row r="27" spans="1:7" s="11" customFormat="1" ht="15.75" customHeight="1" x14ac:dyDescent="0.2">
      <c r="A27" s="128" t="str">
        <f>A190</f>
        <v>3. Veículos e Equipamentos</v>
      </c>
      <c r="B27" s="129"/>
      <c r="C27" s="119"/>
      <c r="D27" s="119"/>
      <c r="E27" s="236">
        <f>+F271</f>
        <v>18415.642388768072</v>
      </c>
      <c r="F27" s="120">
        <f t="shared" si="0"/>
        <v>0.34135326836247065</v>
      </c>
      <c r="G27" s="43"/>
    </row>
    <row r="28" spans="1:7" s="4" customFormat="1" ht="15.75" customHeight="1" x14ac:dyDescent="0.2">
      <c r="A28" s="62" t="str">
        <f>A192</f>
        <v>3.1. Veículo Coletor com compactador</v>
      </c>
      <c r="B28" s="45"/>
      <c r="C28" s="46"/>
      <c r="D28" s="46"/>
      <c r="E28" s="237">
        <f>SUM(E29:E34)</f>
        <v>18415.642388768072</v>
      </c>
      <c r="F28" s="134">
        <f t="shared" si="0"/>
        <v>0.34135326836247065</v>
      </c>
      <c r="G28" s="6"/>
    </row>
    <row r="29" spans="1:7" s="4" customFormat="1" ht="15.75" customHeight="1" x14ac:dyDescent="0.2">
      <c r="A29" s="62" t="str">
        <f>A194</f>
        <v>3.1.1. Depreciação</v>
      </c>
      <c r="B29" s="45"/>
      <c r="C29" s="46"/>
      <c r="D29" s="46"/>
      <c r="E29" s="237">
        <f>F209</f>
        <v>2764.4848803000004</v>
      </c>
      <c r="F29" s="134">
        <f t="shared" si="0"/>
        <v>5.1242630004837197E-2</v>
      </c>
      <c r="G29" s="6"/>
    </row>
    <row r="30" spans="1:7" s="4" customFormat="1" ht="15.75" customHeight="1" x14ac:dyDescent="0.2">
      <c r="A30" s="62" t="str">
        <f>A211</f>
        <v>3.1.2. Remuneração do Capital</v>
      </c>
      <c r="B30" s="45"/>
      <c r="C30" s="46"/>
      <c r="D30" s="46"/>
      <c r="E30" s="237">
        <f>F226</f>
        <v>2997.2903038650006</v>
      </c>
      <c r="F30" s="134">
        <f t="shared" si="0"/>
        <v>5.5557922979623198E-2</v>
      </c>
      <c r="G30" s="6"/>
    </row>
    <row r="31" spans="1:7" s="4" customFormat="1" ht="15.75" customHeight="1" x14ac:dyDescent="0.2">
      <c r="A31" s="62" t="str">
        <f>A228</f>
        <v>3.1.3. Impostos e Seguros</v>
      </c>
      <c r="B31" s="45"/>
      <c r="C31" s="46"/>
      <c r="D31" s="46"/>
      <c r="E31" s="237">
        <f>F234</f>
        <v>577.28591699999993</v>
      </c>
      <c r="F31" s="134">
        <f t="shared" si="0"/>
        <v>1.07006006300255E-2</v>
      </c>
      <c r="G31" s="6"/>
    </row>
    <row r="32" spans="1:7" s="4" customFormat="1" ht="15.75" customHeight="1" x14ac:dyDescent="0.2">
      <c r="A32" s="62" t="str">
        <f>A236</f>
        <v>3.1.4. Consumos</v>
      </c>
      <c r="B32" s="45"/>
      <c r="C32" s="46"/>
      <c r="D32" s="46"/>
      <c r="E32" s="237">
        <f>F254</f>
        <v>9445.7939998302136</v>
      </c>
      <c r="F32" s="134">
        <f t="shared" si="0"/>
        <v>0.17508771000501347</v>
      </c>
      <c r="G32" s="6"/>
    </row>
    <row r="33" spans="1:7" s="4" customFormat="1" ht="15.75" customHeight="1" x14ac:dyDescent="0.2">
      <c r="A33" s="62" t="str">
        <f>A256</f>
        <v>3.1.5. Manutenção</v>
      </c>
      <c r="B33" s="45"/>
      <c r="C33" s="46"/>
      <c r="D33" s="46"/>
      <c r="E33" s="237">
        <f>F259</f>
        <v>1760.8482257142857</v>
      </c>
      <c r="F33" s="134">
        <f t="shared" si="0"/>
        <v>3.2639170779316919E-2</v>
      </c>
      <c r="G33" s="6"/>
    </row>
    <row r="34" spans="1:7" s="4" customFormat="1" ht="15.75" customHeight="1" x14ac:dyDescent="0.2">
      <c r="A34" s="62" t="str">
        <f>A261</f>
        <v>3.1.6. Pneus</v>
      </c>
      <c r="B34" s="45"/>
      <c r="C34" s="46"/>
      <c r="D34" s="46"/>
      <c r="E34" s="237">
        <f>F268</f>
        <v>869.93906205857138</v>
      </c>
      <c r="F34" s="134">
        <f t="shared" si="0"/>
        <v>1.6125233963654343E-2</v>
      </c>
      <c r="G34" s="6"/>
    </row>
    <row r="35" spans="1:7" s="11" customFormat="1" ht="15.75" customHeight="1" x14ac:dyDescent="0.2">
      <c r="A35" s="128" t="str">
        <f>A273</f>
        <v xml:space="preserve">4. Ferramentas, Materiais de Consumo </v>
      </c>
      <c r="B35" s="129"/>
      <c r="C35" s="119"/>
      <c r="D35" s="119"/>
      <c r="E35" s="236">
        <f>+F281</f>
        <v>15.351666666666667</v>
      </c>
      <c r="F35" s="120">
        <f t="shared" si="0"/>
        <v>2.8455926113519727E-4</v>
      </c>
      <c r="G35" s="43"/>
    </row>
    <row r="36" spans="1:7" s="11" customFormat="1" ht="15.75" customHeight="1" x14ac:dyDescent="0.2">
      <c r="A36" s="128" t="str">
        <f>A283</f>
        <v xml:space="preserve">5. Administração Local </v>
      </c>
      <c r="B36" s="129"/>
      <c r="C36" s="119"/>
      <c r="D36" s="119"/>
      <c r="E36" s="236">
        <f>F293</f>
        <v>492.5</v>
      </c>
      <c r="F36" s="120">
        <f t="shared" si="0"/>
        <v>9.1290046320107246E-3</v>
      </c>
      <c r="G36" s="43"/>
    </row>
    <row r="37" spans="1:7" s="11" customFormat="1" ht="15.75" customHeight="1" x14ac:dyDescent="0.2">
      <c r="A37" s="128" t="str">
        <f>A295</f>
        <v>6. Monitoramento da Frota</v>
      </c>
      <c r="B37" s="129"/>
      <c r="C37" s="119"/>
      <c r="D37" s="119"/>
      <c r="E37" s="236">
        <f>+F304</f>
        <v>151.59300000000002</v>
      </c>
      <c r="F37" s="120">
        <f t="shared" si="0"/>
        <v>2.8099354298079231E-3</v>
      </c>
      <c r="G37" s="43"/>
    </row>
    <row r="38" spans="1:7" s="11" customFormat="1" ht="15.75" customHeight="1" thickBot="1" x14ac:dyDescent="0.25">
      <c r="A38" s="128" t="str">
        <f>A308</f>
        <v>7. Benefícios e Despesas Indiretas - BDI</v>
      </c>
      <c r="B38" s="129"/>
      <c r="C38" s="119"/>
      <c r="D38" s="119"/>
      <c r="E38" s="238">
        <f>+F314</f>
        <v>9564.7829394180171</v>
      </c>
      <c r="F38" s="120">
        <f t="shared" si="0"/>
        <v>0.17729329494035379</v>
      </c>
      <c r="G38" s="43"/>
    </row>
    <row r="39" spans="1:7" s="4" customFormat="1" ht="15.75" customHeight="1" thickBot="1" x14ac:dyDescent="0.25">
      <c r="A39" s="41" t="s">
        <v>228</v>
      </c>
      <c r="B39" s="42"/>
      <c r="C39" s="26"/>
      <c r="D39" s="26"/>
      <c r="E39" s="107">
        <f>E17+E26+E27+E35+E37+E38+E36</f>
        <v>53948.926509803241</v>
      </c>
      <c r="F39" s="133">
        <f>F17+F26+F27+F35+F37+F38+F36</f>
        <v>1</v>
      </c>
      <c r="G39" s="6"/>
    </row>
    <row r="41" spans="1:7" ht="13.5" thickBot="1" x14ac:dyDescent="0.25"/>
    <row r="42" spans="1:7" s="4" customFormat="1" ht="15" customHeight="1" thickBot="1" x14ac:dyDescent="0.25">
      <c r="A42" s="664" t="s">
        <v>95</v>
      </c>
      <c r="B42" s="665"/>
      <c r="C42" s="665"/>
      <c r="D42" s="665"/>
      <c r="E42" s="666"/>
      <c r="F42" s="10"/>
      <c r="G42" s="6"/>
    </row>
    <row r="43" spans="1:7" s="4" customFormat="1" ht="15" customHeight="1" thickBot="1" x14ac:dyDescent="0.25">
      <c r="A43" s="661" t="s">
        <v>41</v>
      </c>
      <c r="B43" s="662"/>
      <c r="C43" s="662"/>
      <c r="D43" s="663"/>
      <c r="E43" s="47" t="s">
        <v>42</v>
      </c>
      <c r="F43" s="10"/>
      <c r="G43" s="6"/>
    </row>
    <row r="44" spans="1:7" s="4" customFormat="1" ht="12" hidden="1" customHeight="1" x14ac:dyDescent="0.2">
      <c r="A44" s="70" t="str">
        <f>+A58</f>
        <v>1.1. Coletor Turno Dia</v>
      </c>
      <c r="B44" s="71"/>
      <c r="C44" s="71"/>
      <c r="D44" s="72"/>
      <c r="E44" s="73">
        <f>C68</f>
        <v>0</v>
      </c>
      <c r="F44" s="10"/>
      <c r="G44" s="6"/>
    </row>
    <row r="45" spans="1:7" s="4" customFormat="1" ht="13.9" customHeight="1" x14ac:dyDescent="0.2">
      <c r="A45" s="64" t="str">
        <f>+A71</f>
        <v xml:space="preserve">1.2. Coletor Turno Dia </v>
      </c>
      <c r="B45" s="63"/>
      <c r="C45" s="63"/>
      <c r="D45" s="74"/>
      <c r="E45" s="67">
        <f>C87</f>
        <v>6</v>
      </c>
      <c r="F45" s="10"/>
      <c r="G45" s="6"/>
    </row>
    <row r="46" spans="1:7" s="4" customFormat="1" ht="13.9" customHeight="1" x14ac:dyDescent="0.2">
      <c r="A46" s="64" t="str">
        <f>+A90</f>
        <v>1.2. Encarregado/Supervisor</v>
      </c>
      <c r="B46" s="63"/>
      <c r="C46" s="63"/>
      <c r="D46" s="74"/>
      <c r="E46" s="67">
        <f>C102</f>
        <v>1</v>
      </c>
      <c r="F46" s="10"/>
      <c r="G46" s="6"/>
    </row>
    <row r="47" spans="1:7" s="4" customFormat="1" ht="15" customHeight="1" x14ac:dyDescent="0.2">
      <c r="A47" s="64" t="str">
        <f>+A106</f>
        <v xml:space="preserve">1.3. Motorista Turno do dia </v>
      </c>
      <c r="B47" s="63"/>
      <c r="C47" s="63"/>
      <c r="D47" s="74"/>
      <c r="E47" s="67">
        <f>C124</f>
        <v>2</v>
      </c>
      <c r="F47" s="10"/>
      <c r="G47" s="6"/>
    </row>
    <row r="48" spans="1:7" s="4" customFormat="1" ht="15" customHeight="1" thickBot="1" x14ac:dyDescent="0.25">
      <c r="A48" s="68" t="s">
        <v>60</v>
      </c>
      <c r="B48" s="69"/>
      <c r="C48" s="69"/>
      <c r="D48" s="75"/>
      <c r="E48" s="76">
        <f>SUM(E44:E47)</f>
        <v>9</v>
      </c>
      <c r="F48" s="10"/>
      <c r="G48" s="6"/>
    </row>
    <row r="49" spans="1:7" s="4" customFormat="1" ht="15" customHeight="1" thickBot="1" x14ac:dyDescent="0.25">
      <c r="A49" s="121"/>
      <c r="B49" s="122"/>
      <c r="C49" s="56"/>
      <c r="D49" s="56"/>
      <c r="E49" s="123"/>
      <c r="F49" s="10"/>
      <c r="G49" s="6"/>
    </row>
    <row r="50" spans="1:7" s="4" customFormat="1" ht="15" customHeight="1" x14ac:dyDescent="0.2">
      <c r="A50" s="651" t="s">
        <v>58</v>
      </c>
      <c r="B50" s="652"/>
      <c r="C50" s="652"/>
      <c r="D50" s="652"/>
      <c r="E50" s="47" t="s">
        <v>42</v>
      </c>
      <c r="F50" s="9"/>
      <c r="G50" s="6"/>
    </row>
    <row r="51" spans="1:7" s="4" customFormat="1" ht="15" customHeight="1" thickBot="1" x14ac:dyDescent="0.25">
      <c r="A51" s="124" t="str">
        <f>+A192</f>
        <v>3.1. Veículo Coletor com compactador</v>
      </c>
      <c r="B51" s="125"/>
      <c r="C51" s="125"/>
      <c r="D51" s="126"/>
      <c r="E51" s="127">
        <f>C208</f>
        <v>2</v>
      </c>
      <c r="F51" s="9"/>
      <c r="G51" s="6"/>
    </row>
    <row r="52" spans="1:7" s="4" customFormat="1" ht="15" customHeight="1" x14ac:dyDescent="0.2">
      <c r="A52" s="56"/>
      <c r="B52" s="56"/>
      <c r="C52" s="56"/>
      <c r="D52" s="9"/>
      <c r="E52" s="229"/>
      <c r="F52" s="9"/>
      <c r="G52" s="6"/>
    </row>
    <row r="53" spans="1:7" s="4" customFormat="1" ht="13.5" thickBot="1" x14ac:dyDescent="0.25">
      <c r="A53" s="56"/>
      <c r="B53" s="56"/>
      <c r="C53" s="56"/>
      <c r="D53" s="9"/>
      <c r="E53" s="65"/>
      <c r="F53" s="9"/>
      <c r="G53" s="6"/>
    </row>
    <row r="54" spans="1:7" s="11" customFormat="1" ht="15.75" customHeight="1" thickBot="1" x14ac:dyDescent="0.25">
      <c r="A54" s="240" t="s">
        <v>186</v>
      </c>
      <c r="B54" s="286">
        <f>'11. Horários'!G32</f>
        <v>0.72727272727272729</v>
      </c>
      <c r="C54" s="34"/>
      <c r="E54" s="142"/>
      <c r="G54" s="43"/>
    </row>
    <row r="55" spans="1:7" s="4" customFormat="1" ht="15.75" customHeight="1" x14ac:dyDescent="0.2">
      <c r="A55" s="56"/>
      <c r="B55" s="56"/>
      <c r="C55" s="56"/>
      <c r="D55" s="9"/>
      <c r="E55" s="65"/>
      <c r="F55" s="9"/>
      <c r="G55" s="6"/>
    </row>
    <row r="56" spans="1:7" ht="13.15" customHeight="1" x14ac:dyDescent="0.2">
      <c r="A56" s="11" t="s">
        <v>49</v>
      </c>
    </row>
    <row r="57" spans="1:7" ht="11.25" hidden="1" customHeight="1" x14ac:dyDescent="0.2"/>
    <row r="58" spans="1:7" ht="13.9" hidden="1" customHeight="1" thickBot="1" x14ac:dyDescent="0.25">
      <c r="A58" s="9" t="s">
        <v>98</v>
      </c>
    </row>
    <row r="59" spans="1:7" ht="13.9" hidden="1" customHeight="1" thickBot="1" x14ac:dyDescent="0.25">
      <c r="A59" s="57" t="s">
        <v>64</v>
      </c>
      <c r="B59" s="58" t="s">
        <v>65</v>
      </c>
      <c r="C59" s="58" t="s">
        <v>42</v>
      </c>
      <c r="D59" s="59" t="s">
        <v>224</v>
      </c>
      <c r="E59" s="59" t="s">
        <v>66</v>
      </c>
      <c r="F59" s="60" t="s">
        <v>67</v>
      </c>
    </row>
    <row r="60" spans="1:7" ht="13.15" hidden="1" customHeight="1" x14ac:dyDescent="0.2">
      <c r="A60" s="13" t="s">
        <v>206</v>
      </c>
      <c r="B60" s="14" t="s">
        <v>8</v>
      </c>
      <c r="C60" s="14">
        <v>1</v>
      </c>
      <c r="D60" s="285">
        <v>1549.57</v>
      </c>
      <c r="E60" s="15">
        <f>C60*D60</f>
        <v>1549.57</v>
      </c>
    </row>
    <row r="61" spans="1:7" hidden="1" x14ac:dyDescent="0.2">
      <c r="A61" s="16" t="s">
        <v>36</v>
      </c>
      <c r="B61" s="17" t="s">
        <v>0</v>
      </c>
      <c r="C61" s="83"/>
      <c r="D61" s="18">
        <f>D60/220*2</f>
        <v>14.087</v>
      </c>
      <c r="E61" s="18">
        <f>C61*D61</f>
        <v>0</v>
      </c>
    </row>
    <row r="62" spans="1:7" ht="13.15" hidden="1" customHeight="1" x14ac:dyDescent="0.2">
      <c r="A62" s="16" t="s">
        <v>37</v>
      </c>
      <c r="B62" s="17" t="s">
        <v>0</v>
      </c>
      <c r="C62" s="83"/>
      <c r="D62" s="18">
        <f>D60/220*1.5</f>
        <v>10.565249999999999</v>
      </c>
      <c r="E62" s="18">
        <f>C62*D62</f>
        <v>0</v>
      </c>
    </row>
    <row r="63" spans="1:7" ht="13.15" hidden="1" customHeight="1" x14ac:dyDescent="0.2">
      <c r="A63" s="16" t="s">
        <v>210</v>
      </c>
      <c r="B63" s="17" t="s">
        <v>35</v>
      </c>
      <c r="D63" s="18">
        <f>63/302*(SUM(E61:E62))</f>
        <v>0</v>
      </c>
      <c r="E63" s="18">
        <f>D63</f>
        <v>0</v>
      </c>
    </row>
    <row r="64" spans="1:7" hidden="1" x14ac:dyDescent="0.2">
      <c r="A64" s="16" t="s">
        <v>1</v>
      </c>
      <c r="B64" s="17" t="s">
        <v>2</v>
      </c>
      <c r="C64" s="17">
        <v>40</v>
      </c>
      <c r="D64" s="78">
        <f>SUM(E60:E63)</f>
        <v>1549.57</v>
      </c>
      <c r="E64" s="18">
        <f>C64*D64/100</f>
        <v>619.82799999999997</v>
      </c>
    </row>
    <row r="65" spans="1:8" hidden="1" x14ac:dyDescent="0.2">
      <c r="A65" s="109" t="s">
        <v>3</v>
      </c>
      <c r="B65" s="110"/>
      <c r="C65" s="110"/>
      <c r="D65" s="111"/>
      <c r="E65" s="112">
        <f>SUM(E60:E64)</f>
        <v>2169.3980000000001</v>
      </c>
    </row>
    <row r="66" spans="1:8" hidden="1" x14ac:dyDescent="0.2">
      <c r="A66" s="16" t="s">
        <v>4</v>
      </c>
      <c r="B66" s="17" t="s">
        <v>2</v>
      </c>
      <c r="C66" s="131">
        <f>'7.Enc Sociais'!$C$38*100</f>
        <v>69.355340000000012</v>
      </c>
      <c r="D66" s="18">
        <f>E65</f>
        <v>2169.3980000000001</v>
      </c>
      <c r="E66" s="18">
        <f>D66*C66/100</f>
        <v>1504.5933588532002</v>
      </c>
    </row>
    <row r="67" spans="1:8" hidden="1" x14ac:dyDescent="0.2">
      <c r="A67" s="109" t="s">
        <v>73</v>
      </c>
      <c r="B67" s="110"/>
      <c r="C67" s="110"/>
      <c r="D67" s="111"/>
      <c r="E67" s="112">
        <f>E65+E66</f>
        <v>3673.9913588532004</v>
      </c>
    </row>
    <row r="68" spans="1:8" ht="13.5" hidden="1" thickBot="1" x14ac:dyDescent="0.25">
      <c r="A68" s="16" t="s">
        <v>5</v>
      </c>
      <c r="B68" s="17" t="s">
        <v>6</v>
      </c>
      <c r="C68" s="81">
        <v>0</v>
      </c>
      <c r="D68" s="18">
        <f>E67</f>
        <v>3673.9913588532004</v>
      </c>
      <c r="E68" s="18">
        <f>C68*D68</f>
        <v>0</v>
      </c>
      <c r="G68" s="6"/>
      <c r="H68" s="303"/>
    </row>
    <row r="69" spans="1:8" ht="13.9" hidden="1" customHeight="1" thickBot="1" x14ac:dyDescent="0.25">
      <c r="A69" s="7" t="s">
        <v>546</v>
      </c>
      <c r="D69" s="115" t="s">
        <v>185</v>
      </c>
      <c r="E69" s="287">
        <f>$B$54</f>
        <v>0.72727272727272729</v>
      </c>
      <c r="F69" s="116">
        <f>E68*E69</f>
        <v>0</v>
      </c>
      <c r="G69" s="6"/>
      <c r="H69" s="303"/>
    </row>
    <row r="70" spans="1:8" ht="11.25" customHeight="1" x14ac:dyDescent="0.2">
      <c r="A70" s="7"/>
    </row>
    <row r="71" spans="1:8" ht="13.5" thickBot="1" x14ac:dyDescent="0.25">
      <c r="A71" s="7" t="s">
        <v>613</v>
      </c>
    </row>
    <row r="72" spans="1:8" ht="13.5" thickBot="1" x14ac:dyDescent="0.25">
      <c r="A72" s="57" t="s">
        <v>64</v>
      </c>
      <c r="B72" s="58" t="s">
        <v>65</v>
      </c>
      <c r="C72" s="58" t="s">
        <v>42</v>
      </c>
      <c r="D72" s="59" t="s">
        <v>224</v>
      </c>
      <c r="E72" s="59" t="s">
        <v>66</v>
      </c>
      <c r="F72" s="60" t="s">
        <v>67</v>
      </c>
    </row>
    <row r="73" spans="1:8" x14ac:dyDescent="0.2">
      <c r="A73" s="13" t="s">
        <v>206</v>
      </c>
      <c r="B73" s="14" t="s">
        <v>8</v>
      </c>
      <c r="C73" s="14">
        <v>1</v>
      </c>
      <c r="D73" s="15">
        <f>D60</f>
        <v>1549.57</v>
      </c>
      <c r="E73" s="15">
        <f>C73*D73</f>
        <v>1549.57</v>
      </c>
    </row>
    <row r="74" spans="1:8" hidden="1" x14ac:dyDescent="0.2">
      <c r="A74" s="16" t="s">
        <v>7</v>
      </c>
      <c r="B74" s="17" t="s">
        <v>96</v>
      </c>
      <c r="C74" s="83">
        <v>0</v>
      </c>
      <c r="D74" s="18"/>
      <c r="E74" s="18"/>
    </row>
    <row r="75" spans="1:8" hidden="1" x14ac:dyDescent="0.2">
      <c r="A75" s="16"/>
      <c r="B75" s="17" t="s">
        <v>99</v>
      </c>
      <c r="C75" s="113">
        <f>C74*8/7</f>
        <v>0</v>
      </c>
      <c r="D75" s="18">
        <f>D73/220*0.2</f>
        <v>1.4087000000000001</v>
      </c>
      <c r="E75" s="18">
        <f>C74*D75</f>
        <v>0</v>
      </c>
    </row>
    <row r="76" spans="1:8" hidden="1" x14ac:dyDescent="0.2">
      <c r="A76" s="16" t="s">
        <v>36</v>
      </c>
      <c r="B76" s="17" t="s">
        <v>0</v>
      </c>
      <c r="C76" s="83"/>
      <c r="D76" s="18">
        <f>D73/220*2</f>
        <v>14.087</v>
      </c>
      <c r="E76" s="18">
        <f>C76*D76</f>
        <v>0</v>
      </c>
    </row>
    <row r="77" spans="1:8" hidden="1" x14ac:dyDescent="0.2">
      <c r="A77" s="16" t="s">
        <v>97</v>
      </c>
      <c r="B77" s="17" t="s">
        <v>96</v>
      </c>
      <c r="C77" s="83"/>
      <c r="D77" s="18"/>
      <c r="E77" s="18"/>
    </row>
    <row r="78" spans="1:8" hidden="1" x14ac:dyDescent="0.2">
      <c r="A78" s="16"/>
      <c r="B78" s="17" t="s">
        <v>99</v>
      </c>
      <c r="C78" s="113">
        <f>C77*8/7</f>
        <v>0</v>
      </c>
      <c r="D78" s="18">
        <f>D73/220*2*1.2</f>
        <v>16.904399999999999</v>
      </c>
      <c r="E78" s="18">
        <f>C78*D78</f>
        <v>0</v>
      </c>
    </row>
    <row r="79" spans="1:8" hidden="1" x14ac:dyDescent="0.2">
      <c r="A79" s="16" t="s">
        <v>37</v>
      </c>
      <c r="B79" s="17" t="s">
        <v>0</v>
      </c>
      <c r="C79" s="83"/>
      <c r="D79" s="18">
        <f>D73/220*1.5</f>
        <v>10.565249999999999</v>
      </c>
      <c r="E79" s="18">
        <f>C79*D79</f>
        <v>0</v>
      </c>
    </row>
    <row r="80" spans="1:8" hidden="1" x14ac:dyDescent="0.2">
      <c r="A80" s="16" t="s">
        <v>208</v>
      </c>
      <c r="B80" s="17" t="s">
        <v>96</v>
      </c>
      <c r="C80" s="83">
        <v>0</v>
      </c>
      <c r="D80" s="18"/>
      <c r="E80" s="18"/>
    </row>
    <row r="81" spans="1:10" hidden="1" x14ac:dyDescent="0.2">
      <c r="A81" s="16"/>
      <c r="B81" s="17" t="s">
        <v>99</v>
      </c>
      <c r="C81" s="18">
        <f>C80*8/7</f>
        <v>0</v>
      </c>
      <c r="D81" s="18">
        <f>D73/220*1.5*1.2</f>
        <v>12.678299999999998</v>
      </c>
      <c r="E81" s="18">
        <f>C81*D81</f>
        <v>0</v>
      </c>
    </row>
    <row r="82" spans="1:10" ht="13.15" hidden="1" customHeight="1" x14ac:dyDescent="0.2">
      <c r="A82" s="16" t="s">
        <v>210</v>
      </c>
      <c r="B82" s="17" t="s">
        <v>35</v>
      </c>
      <c r="D82" s="18">
        <f>63/302*(SUM(E76:E81))</f>
        <v>0</v>
      </c>
      <c r="E82" s="18">
        <f>D82</f>
        <v>0</v>
      </c>
    </row>
    <row r="83" spans="1:10" x14ac:dyDescent="0.2">
      <c r="A83" s="16" t="s">
        <v>1</v>
      </c>
      <c r="B83" s="17" t="s">
        <v>2</v>
      </c>
      <c r="C83" s="17">
        <f>+C64</f>
        <v>40</v>
      </c>
      <c r="D83" s="78">
        <f>SUM(E73:E82)</f>
        <v>1549.57</v>
      </c>
      <c r="E83" s="18">
        <f>C83*D83/100</f>
        <v>619.82799999999997</v>
      </c>
    </row>
    <row r="84" spans="1:10" x14ac:dyDescent="0.2">
      <c r="A84" s="109" t="s">
        <v>3</v>
      </c>
      <c r="B84" s="110"/>
      <c r="C84" s="110"/>
      <c r="D84" s="111"/>
      <c r="E84" s="112">
        <f>SUM(E73:E83)</f>
        <v>2169.3980000000001</v>
      </c>
    </row>
    <row r="85" spans="1:10" x14ac:dyDescent="0.2">
      <c r="A85" s="16" t="s">
        <v>4</v>
      </c>
      <c r="B85" s="17" t="s">
        <v>2</v>
      </c>
      <c r="C85" s="131">
        <f>'7.Enc Sociais'!$C$38*100</f>
        <v>69.355340000000012</v>
      </c>
      <c r="D85" s="18">
        <f>E84</f>
        <v>2169.3980000000001</v>
      </c>
      <c r="E85" s="18">
        <f>D85*C85/100</f>
        <v>1504.5933588532002</v>
      </c>
    </row>
    <row r="86" spans="1:10" x14ac:dyDescent="0.2">
      <c r="A86" s="109" t="s">
        <v>73</v>
      </c>
      <c r="B86" s="110"/>
      <c r="C86" s="110"/>
      <c r="D86" s="111"/>
      <c r="E86" s="112">
        <f>E84+E85</f>
        <v>3673.9913588532004</v>
      </c>
    </row>
    <row r="87" spans="1:10" ht="13.5" thickBot="1" x14ac:dyDescent="0.25">
      <c r="A87" s="16" t="s">
        <v>5</v>
      </c>
      <c r="B87" s="17" t="s">
        <v>6</v>
      </c>
      <c r="C87" s="81">
        <v>6</v>
      </c>
      <c r="D87" s="18">
        <f>E86</f>
        <v>3673.9913588532004</v>
      </c>
      <c r="E87" s="18">
        <f>C87*D87</f>
        <v>22043.948153119203</v>
      </c>
    </row>
    <row r="88" spans="1:10" ht="13.5" thickBot="1" x14ac:dyDescent="0.25">
      <c r="A88" s="7" t="s">
        <v>546</v>
      </c>
      <c r="D88" s="115" t="s">
        <v>185</v>
      </c>
      <c r="E88" s="287">
        <f>$B$54</f>
        <v>0.72727272727272729</v>
      </c>
      <c r="F88" s="116">
        <f>E87*E88</f>
        <v>16031.962293177603</v>
      </c>
      <c r="I88" s="643"/>
      <c r="J88" s="643"/>
    </row>
    <row r="89" spans="1:10" ht="11.25" customHeight="1" x14ac:dyDescent="0.2"/>
    <row r="90" spans="1:10" ht="13.5" thickBot="1" x14ac:dyDescent="0.25">
      <c r="A90" s="7" t="s">
        <v>561</v>
      </c>
    </row>
    <row r="91" spans="1:10" s="12" customFormat="1" ht="13.15" customHeight="1" thickBot="1" x14ac:dyDescent="0.25">
      <c r="A91" s="57" t="s">
        <v>64</v>
      </c>
      <c r="B91" s="58" t="s">
        <v>65</v>
      </c>
      <c r="C91" s="58" t="s">
        <v>42</v>
      </c>
      <c r="D91" s="59" t="s">
        <v>224</v>
      </c>
      <c r="E91" s="59" t="s">
        <v>66</v>
      </c>
      <c r="F91" s="60" t="s">
        <v>67</v>
      </c>
      <c r="G91" s="10"/>
    </row>
    <row r="92" spans="1:10" x14ac:dyDescent="0.2">
      <c r="A92" s="278" t="s">
        <v>282</v>
      </c>
      <c r="B92" s="14" t="s">
        <v>8</v>
      </c>
      <c r="C92" s="14">
        <v>1</v>
      </c>
      <c r="D92" s="285">
        <v>1797.11</v>
      </c>
      <c r="E92" s="15">
        <f>C92*D92</f>
        <v>1797.11</v>
      </c>
    </row>
    <row r="93" spans="1:10" hidden="1" x14ac:dyDescent="0.2">
      <c r="A93" s="278" t="s">
        <v>283</v>
      </c>
      <c r="B93" s="14" t="s">
        <v>8</v>
      </c>
      <c r="C93" s="14">
        <v>1</v>
      </c>
      <c r="D93" s="82">
        <v>0</v>
      </c>
      <c r="E93" s="15"/>
    </row>
    <row r="94" spans="1:10" hidden="1" x14ac:dyDescent="0.2">
      <c r="A94" s="16" t="s">
        <v>36</v>
      </c>
      <c r="B94" s="17" t="s">
        <v>0</v>
      </c>
      <c r="C94" s="83"/>
      <c r="D94" s="18">
        <f>D92/220*2</f>
        <v>16.337363636363637</v>
      </c>
      <c r="E94" s="18">
        <f>C94*D94</f>
        <v>0</v>
      </c>
    </row>
    <row r="95" spans="1:10" hidden="1" x14ac:dyDescent="0.2">
      <c r="A95" s="16" t="s">
        <v>37</v>
      </c>
      <c r="B95" s="17" t="s">
        <v>0</v>
      </c>
      <c r="C95" s="83"/>
      <c r="D95" s="18">
        <f>D92/220*1.5</f>
        <v>12.253022727272729</v>
      </c>
      <c r="E95" s="18">
        <f>C95*D95</f>
        <v>0</v>
      </c>
    </row>
    <row r="96" spans="1:10" ht="13.15" hidden="1" customHeight="1" x14ac:dyDescent="0.2">
      <c r="A96" s="16" t="s">
        <v>210</v>
      </c>
      <c r="B96" s="17" t="s">
        <v>35</v>
      </c>
      <c r="D96" s="18">
        <f>63/302*(SUM(E94:E95))</f>
        <v>0</v>
      </c>
      <c r="E96" s="18">
        <f>D96</f>
        <v>0</v>
      </c>
    </row>
    <row r="97" spans="1:8" hidden="1" x14ac:dyDescent="0.2">
      <c r="A97" s="16" t="s">
        <v>207</v>
      </c>
      <c r="B97" s="17"/>
      <c r="C97" s="85">
        <v>1</v>
      </c>
      <c r="D97" s="18"/>
      <c r="E97" s="18"/>
    </row>
    <row r="98" spans="1:8" hidden="1" x14ac:dyDescent="0.2">
      <c r="A98" s="16" t="s">
        <v>1</v>
      </c>
      <c r="B98" s="17" t="s">
        <v>2</v>
      </c>
      <c r="C98" s="81">
        <v>20</v>
      </c>
      <c r="D98" s="78">
        <f>IF(C97=2,SUM(E92:E96),IF(C97=1,(SUM(E92:E96))*D93/D92,0))</f>
        <v>0</v>
      </c>
      <c r="E98" s="18">
        <f>C98*D98/100</f>
        <v>0</v>
      </c>
    </row>
    <row r="99" spans="1:8" s="11" customFormat="1" x14ac:dyDescent="0.2">
      <c r="A99" s="96" t="s">
        <v>3</v>
      </c>
      <c r="B99" s="110"/>
      <c r="C99" s="110"/>
      <c r="D99" s="111"/>
      <c r="E99" s="98">
        <f>SUM(E92:E98)</f>
        <v>1797.11</v>
      </c>
      <c r="F99" s="43"/>
      <c r="G99" s="43"/>
    </row>
    <row r="100" spans="1:8" x14ac:dyDescent="0.2">
      <c r="A100" s="16" t="s">
        <v>4</v>
      </c>
      <c r="B100" s="17" t="s">
        <v>2</v>
      </c>
      <c r="C100" s="131">
        <f>'7.Enc Sociais'!$C$38*100</f>
        <v>69.355340000000012</v>
      </c>
      <c r="D100" s="18">
        <f>E99</f>
        <v>1797.11</v>
      </c>
      <c r="E100" s="18">
        <f>D100*C100/100</f>
        <v>1246.3917506740001</v>
      </c>
    </row>
    <row r="101" spans="1:8" s="11" customFormat="1" x14ac:dyDescent="0.2">
      <c r="A101" s="96" t="s">
        <v>244</v>
      </c>
      <c r="B101" s="246"/>
      <c r="C101" s="246"/>
      <c r="D101" s="247"/>
      <c r="E101" s="98">
        <f>E99+E100</f>
        <v>3043.501750674</v>
      </c>
      <c r="F101" s="43"/>
      <c r="G101" s="43"/>
    </row>
    <row r="102" spans="1:8" ht="13.5" thickBot="1" x14ac:dyDescent="0.25">
      <c r="A102" s="16" t="s">
        <v>5</v>
      </c>
      <c r="B102" s="17" t="s">
        <v>6</v>
      </c>
      <c r="C102" s="81">
        <v>1</v>
      </c>
      <c r="D102" s="18">
        <f>E101</f>
        <v>3043.501750674</v>
      </c>
      <c r="E102" s="18">
        <f>C102*D102</f>
        <v>3043.501750674</v>
      </c>
    </row>
    <row r="103" spans="1:8" ht="13.5" thickBot="1" x14ac:dyDescent="0.25">
      <c r="A103" s="7" t="s">
        <v>562</v>
      </c>
      <c r="D103" s="115" t="s">
        <v>185</v>
      </c>
      <c r="E103" s="287">
        <f>4/44</f>
        <v>9.0909090909090912E-2</v>
      </c>
      <c r="F103" s="116">
        <f>E102*E103</f>
        <v>276.68197733400001</v>
      </c>
      <c r="H103" s="303"/>
    </row>
    <row r="104" spans="1:8" ht="11.25" customHeight="1" x14ac:dyDescent="0.2">
      <c r="A104" s="7"/>
    </row>
    <row r="105" spans="1:8" ht="11.25" hidden="1" customHeight="1" x14ac:dyDescent="0.2">
      <c r="A105" s="7"/>
    </row>
    <row r="106" spans="1:8" ht="13.5" thickBot="1" x14ac:dyDescent="0.25">
      <c r="A106" s="7" t="s">
        <v>614</v>
      </c>
    </row>
    <row r="107" spans="1:8" ht="13.5" thickBot="1" x14ac:dyDescent="0.25">
      <c r="A107" s="57" t="s">
        <v>64</v>
      </c>
      <c r="B107" s="58" t="s">
        <v>65</v>
      </c>
      <c r="C107" s="58" t="s">
        <v>42</v>
      </c>
      <c r="D107" s="59" t="s">
        <v>224</v>
      </c>
      <c r="E107" s="59" t="s">
        <v>66</v>
      </c>
      <c r="F107" s="60" t="s">
        <v>67</v>
      </c>
    </row>
    <row r="108" spans="1:8" x14ac:dyDescent="0.2">
      <c r="A108" s="278" t="s">
        <v>434</v>
      </c>
      <c r="B108" s="14" t="s">
        <v>8</v>
      </c>
      <c r="C108" s="14">
        <v>1</v>
      </c>
      <c r="D108" s="82">
        <v>1930.19</v>
      </c>
      <c r="E108" s="15">
        <f>C108*D108</f>
        <v>1930.19</v>
      </c>
    </row>
    <row r="109" spans="1:8" x14ac:dyDescent="0.2">
      <c r="A109" s="278" t="s">
        <v>283</v>
      </c>
      <c r="B109" s="14" t="s">
        <v>8</v>
      </c>
      <c r="C109" s="14">
        <v>1</v>
      </c>
      <c r="D109" s="18">
        <v>1212</v>
      </c>
      <c r="E109" s="18"/>
    </row>
    <row r="110" spans="1:8" hidden="1" x14ac:dyDescent="0.2">
      <c r="A110" s="16" t="s">
        <v>7</v>
      </c>
      <c r="B110" s="17" t="s">
        <v>96</v>
      </c>
      <c r="C110" s="83">
        <v>0</v>
      </c>
      <c r="D110" s="16"/>
      <c r="E110" s="16"/>
    </row>
    <row r="111" spans="1:8" hidden="1" x14ac:dyDescent="0.2">
      <c r="A111" s="16"/>
      <c r="B111" s="17" t="s">
        <v>99</v>
      </c>
      <c r="C111" s="18">
        <f>C110*8/7</f>
        <v>0</v>
      </c>
      <c r="D111" s="18">
        <f>D108/220*0.2</f>
        <v>1.7547181818181821</v>
      </c>
      <c r="E111" s="18">
        <f>C110*D111</f>
        <v>0</v>
      </c>
    </row>
    <row r="112" spans="1:8" hidden="1" x14ac:dyDescent="0.2">
      <c r="A112" s="16" t="s">
        <v>36</v>
      </c>
      <c r="B112" s="17" t="s">
        <v>0</v>
      </c>
      <c r="C112" s="83"/>
      <c r="D112" s="18">
        <f>D108/220*2</f>
        <v>17.547181818181819</v>
      </c>
      <c r="E112" s="18">
        <f>C112*D112</f>
        <v>0</v>
      </c>
    </row>
    <row r="113" spans="1:10" hidden="1" x14ac:dyDescent="0.2">
      <c r="A113" s="16" t="s">
        <v>97</v>
      </c>
      <c r="B113" s="17" t="s">
        <v>96</v>
      </c>
      <c r="C113" s="83"/>
      <c r="D113" s="18"/>
      <c r="E113" s="18"/>
    </row>
    <row r="114" spans="1:10" hidden="1" x14ac:dyDescent="0.2">
      <c r="A114" s="16"/>
      <c r="B114" s="17" t="s">
        <v>99</v>
      </c>
      <c r="C114" s="18">
        <f>C113*8/7</f>
        <v>0</v>
      </c>
      <c r="D114" s="18">
        <f>D108/220*2*1.2</f>
        <v>21.056618181818184</v>
      </c>
      <c r="E114" s="18">
        <f>C114*D114</f>
        <v>0</v>
      </c>
    </row>
    <row r="115" spans="1:10" hidden="1" x14ac:dyDescent="0.2">
      <c r="A115" s="16" t="s">
        <v>37</v>
      </c>
      <c r="B115" s="17" t="s">
        <v>0</v>
      </c>
      <c r="C115" s="83"/>
      <c r="D115" s="18">
        <f>D108/220*1.5</f>
        <v>13.160386363636364</v>
      </c>
      <c r="E115" s="18">
        <f>C115*D115</f>
        <v>0</v>
      </c>
    </row>
    <row r="116" spans="1:10" hidden="1" x14ac:dyDescent="0.2">
      <c r="A116" s="16" t="s">
        <v>208</v>
      </c>
      <c r="B116" s="17" t="s">
        <v>96</v>
      </c>
      <c r="C116" s="83"/>
      <c r="D116" s="18"/>
      <c r="E116" s="18"/>
    </row>
    <row r="117" spans="1:10" hidden="1" x14ac:dyDescent="0.2">
      <c r="A117" s="16"/>
      <c r="B117" s="17" t="s">
        <v>99</v>
      </c>
      <c r="C117" s="18">
        <f>C116*8/7</f>
        <v>0</v>
      </c>
      <c r="D117" s="18">
        <f>D108/220*1.5*1.2</f>
        <v>15.792463636363637</v>
      </c>
      <c r="E117" s="18">
        <f>C117*D117</f>
        <v>0</v>
      </c>
    </row>
    <row r="118" spans="1:10" ht="13.15" hidden="1" customHeight="1" x14ac:dyDescent="0.2">
      <c r="A118" s="16" t="s">
        <v>210</v>
      </c>
      <c r="B118" s="17" t="s">
        <v>35</v>
      </c>
      <c r="D118" s="18">
        <f>63/302*(SUM(E112:E117))</f>
        <v>0</v>
      </c>
      <c r="E118" s="18">
        <f>D118</f>
        <v>0</v>
      </c>
    </row>
    <row r="119" spans="1:10" x14ac:dyDescent="0.2">
      <c r="A119" s="16" t="s">
        <v>207</v>
      </c>
      <c r="B119" s="17"/>
      <c r="C119" s="85">
        <v>1</v>
      </c>
      <c r="D119" s="18"/>
      <c r="E119" s="18"/>
    </row>
    <row r="120" spans="1:10" x14ac:dyDescent="0.2">
      <c r="A120" s="16" t="s">
        <v>1</v>
      </c>
      <c r="B120" s="17" t="s">
        <v>2</v>
      </c>
      <c r="C120" s="78">
        <f>+C98</f>
        <v>20</v>
      </c>
      <c r="D120" s="78">
        <f>D109</f>
        <v>1212</v>
      </c>
      <c r="E120" s="18">
        <f>C120*D120/100</f>
        <v>242.4</v>
      </c>
    </row>
    <row r="121" spans="1:10" s="11" customFormat="1" x14ac:dyDescent="0.2">
      <c r="A121" s="109" t="s">
        <v>3</v>
      </c>
      <c r="B121" s="110"/>
      <c r="C121" s="110"/>
      <c r="D121" s="111"/>
      <c r="E121" s="112">
        <f>SUM(E108:E120)</f>
        <v>2172.59</v>
      </c>
      <c r="F121" s="43"/>
      <c r="G121" s="43"/>
    </row>
    <row r="122" spans="1:10" x14ac:dyDescent="0.2">
      <c r="A122" s="16" t="s">
        <v>4</v>
      </c>
      <c r="B122" s="17" t="s">
        <v>2</v>
      </c>
      <c r="C122" s="131">
        <f>'7.Enc Sociais'!$C$38*100</f>
        <v>69.355340000000012</v>
      </c>
      <c r="D122" s="18">
        <f>E121</f>
        <v>2172.59</v>
      </c>
      <c r="E122" s="18">
        <f>D122*C122/100</f>
        <v>1506.8071813060003</v>
      </c>
    </row>
    <row r="123" spans="1:10" s="11" customFormat="1" x14ac:dyDescent="0.2">
      <c r="A123" s="109" t="s">
        <v>399</v>
      </c>
      <c r="B123" s="110"/>
      <c r="C123" s="110"/>
      <c r="D123" s="111"/>
      <c r="E123" s="112">
        <f>E121+E122</f>
        <v>3679.3971813060007</v>
      </c>
      <c r="F123" s="43"/>
      <c r="G123" s="43"/>
    </row>
    <row r="124" spans="1:10" ht="13.5" thickBot="1" x14ac:dyDescent="0.25">
      <c r="A124" s="16" t="s">
        <v>5</v>
      </c>
      <c r="B124" s="17" t="s">
        <v>6</v>
      </c>
      <c r="C124" s="81">
        <v>2</v>
      </c>
      <c r="D124" s="18">
        <f>E123</f>
        <v>3679.3971813060007</v>
      </c>
      <c r="E124" s="18">
        <f>C124*D124</f>
        <v>7358.7943626120014</v>
      </c>
    </row>
    <row r="125" spans="1:10" ht="13.5" thickBot="1" x14ac:dyDescent="0.25">
      <c r="A125" s="7" t="s">
        <v>443</v>
      </c>
      <c r="D125" s="115" t="s">
        <v>185</v>
      </c>
      <c r="E125" s="287">
        <f>'11. Horários'!G44</f>
        <v>0.84090909090909094</v>
      </c>
      <c r="F125" s="116">
        <f>E124*E125</f>
        <v>6188.0770776510017</v>
      </c>
      <c r="G125" s="332"/>
      <c r="I125" s="643"/>
      <c r="J125" s="643"/>
    </row>
    <row r="126" spans="1:10" ht="11.25" customHeight="1" x14ac:dyDescent="0.2">
      <c r="G126" s="9"/>
    </row>
    <row r="127" spans="1:10" ht="13.5" thickBot="1" x14ac:dyDescent="0.25">
      <c r="A127" s="7" t="s">
        <v>413</v>
      </c>
      <c r="B127" s="88"/>
      <c r="D127" s="9"/>
      <c r="E127" s="303"/>
      <c r="G127" s="9"/>
    </row>
    <row r="128" spans="1:10" ht="13.5" thickBot="1" x14ac:dyDescent="0.25">
      <c r="A128" s="57" t="s">
        <v>64</v>
      </c>
      <c r="B128" s="58" t="s">
        <v>65</v>
      </c>
      <c r="C128" s="58" t="s">
        <v>42</v>
      </c>
      <c r="D128" s="59" t="s">
        <v>224</v>
      </c>
      <c r="E128" s="59" t="s">
        <v>66</v>
      </c>
      <c r="F128" s="60" t="s">
        <v>67</v>
      </c>
      <c r="G128" s="9"/>
    </row>
    <row r="129" spans="1:8" x14ac:dyDescent="0.2">
      <c r="A129" s="16" t="s">
        <v>89</v>
      </c>
      <c r="B129" s="17" t="s">
        <v>35</v>
      </c>
      <c r="C129" s="89">
        <v>1</v>
      </c>
      <c r="D129" s="87">
        <v>2.39</v>
      </c>
      <c r="E129" s="18"/>
      <c r="G129" s="9"/>
    </row>
    <row r="130" spans="1:8" x14ac:dyDescent="0.2">
      <c r="A130" s="16" t="s">
        <v>90</v>
      </c>
      <c r="B130" s="17" t="s">
        <v>91</v>
      </c>
      <c r="C130" s="86">
        <v>17</v>
      </c>
      <c r="D130" s="18"/>
      <c r="E130" s="18"/>
      <c r="G130" s="80"/>
      <c r="H130" s="80"/>
    </row>
    <row r="131" spans="1:8" x14ac:dyDescent="0.2">
      <c r="A131" s="16" t="s">
        <v>74</v>
      </c>
      <c r="B131" s="17" t="s">
        <v>9</v>
      </c>
      <c r="C131" s="36">
        <f>$C$130*2*(C68+C87)</f>
        <v>204</v>
      </c>
      <c r="D131" s="15">
        <f>D129-(E60/50*0.06)</f>
        <v>0.53051600000000021</v>
      </c>
      <c r="E131" s="18">
        <f>IFERROR(C131*D131,"-")</f>
        <v>108.22526400000004</v>
      </c>
      <c r="H131" s="80"/>
    </row>
    <row r="132" spans="1:8" ht="13.5" thickBot="1" x14ac:dyDescent="0.25">
      <c r="A132" s="13" t="s">
        <v>46</v>
      </c>
      <c r="B132" s="14" t="s">
        <v>9</v>
      </c>
      <c r="C132" s="36">
        <f>$C$130*2*(C124)</f>
        <v>68</v>
      </c>
      <c r="D132" s="15">
        <f>D129-(E92/50*0.06)</f>
        <v>0.23346800000000023</v>
      </c>
      <c r="E132" s="15">
        <f>IFERROR(C132*D132,"-")</f>
        <v>15.875824000000016</v>
      </c>
      <c r="G132" s="9"/>
      <c r="H132" s="80"/>
    </row>
    <row r="133" spans="1:8" ht="13.5" thickBot="1" x14ac:dyDescent="0.25">
      <c r="F133" s="22">
        <f>SUM(E131:E132)</f>
        <v>124.10108800000006</v>
      </c>
      <c r="G133" s="9"/>
    </row>
    <row r="134" spans="1:8" ht="11.25" customHeight="1" x14ac:dyDescent="0.2">
      <c r="G134" s="9"/>
    </row>
    <row r="135" spans="1:8" ht="13.5" thickBot="1" x14ac:dyDescent="0.25">
      <c r="A135" s="7" t="s">
        <v>414</v>
      </c>
      <c r="F135" s="23"/>
      <c r="G135" s="9"/>
    </row>
    <row r="136" spans="1:8" ht="13.5" thickBot="1" x14ac:dyDescent="0.25">
      <c r="A136" s="57" t="s">
        <v>64</v>
      </c>
      <c r="B136" s="58" t="s">
        <v>65</v>
      </c>
      <c r="C136" s="58" t="s">
        <v>42</v>
      </c>
      <c r="D136" s="59" t="s">
        <v>224</v>
      </c>
      <c r="E136" s="59" t="s">
        <v>66</v>
      </c>
      <c r="F136" s="60" t="s">
        <v>67</v>
      </c>
      <c r="G136" s="9"/>
    </row>
    <row r="137" spans="1:8" x14ac:dyDescent="0.2">
      <c r="A137" s="16" t="str">
        <f>+A131</f>
        <v>Coletor</v>
      </c>
      <c r="B137" s="17" t="s">
        <v>10</v>
      </c>
      <c r="C137" s="95">
        <f>C130*(E44+E45)</f>
        <v>102</v>
      </c>
      <c r="D137" s="84">
        <f>20.18*0.81</f>
        <v>16.345800000000001</v>
      </c>
      <c r="E137" s="49">
        <f>C137*D137</f>
        <v>1667.2716</v>
      </c>
      <c r="F137" s="23"/>
      <c r="G137" s="9"/>
    </row>
    <row r="138" spans="1:8" x14ac:dyDescent="0.2">
      <c r="A138" s="299" t="s">
        <v>46</v>
      </c>
      <c r="B138" s="17" t="s">
        <v>10</v>
      </c>
      <c r="C138" s="95">
        <f>C130*(E47)</f>
        <v>34</v>
      </c>
      <c r="D138" s="84">
        <f>12.81*0.8</f>
        <v>10.248000000000001</v>
      </c>
      <c r="E138" s="49">
        <f>C138*D138</f>
        <v>348.43200000000002</v>
      </c>
      <c r="F138" s="23"/>
      <c r="G138" s="9"/>
    </row>
    <row r="139" spans="1:8" ht="13.5" thickBot="1" x14ac:dyDescent="0.25">
      <c r="A139" s="299" t="s">
        <v>357</v>
      </c>
      <c r="B139" s="17" t="s">
        <v>10</v>
      </c>
      <c r="C139" s="95">
        <v>2</v>
      </c>
      <c r="D139" s="84">
        <f>20.18*0.81</f>
        <v>16.345800000000001</v>
      </c>
      <c r="E139" s="49">
        <f>C139*D139</f>
        <v>32.691600000000001</v>
      </c>
      <c r="F139" s="23"/>
      <c r="G139" s="9"/>
    </row>
    <row r="140" spans="1:8" ht="13.5" thickBot="1" x14ac:dyDescent="0.25">
      <c r="F140" s="22">
        <f>SUM(E137:E139)</f>
        <v>2048.3951999999999</v>
      </c>
      <c r="G140" s="9"/>
    </row>
    <row r="141" spans="1:8" x14ac:dyDescent="0.2">
      <c r="G141" s="9"/>
    </row>
    <row r="142" spans="1:8" ht="13.5" thickBot="1" x14ac:dyDescent="0.25">
      <c r="A142" s="7" t="s">
        <v>415</v>
      </c>
      <c r="F142" s="23"/>
      <c r="G142" s="9"/>
    </row>
    <row r="143" spans="1:8" ht="13.5" thickBot="1" x14ac:dyDescent="0.25">
      <c r="A143" s="57" t="s">
        <v>64</v>
      </c>
      <c r="B143" s="58" t="s">
        <v>65</v>
      </c>
      <c r="C143" s="58" t="s">
        <v>42</v>
      </c>
      <c r="D143" s="59" t="s">
        <v>224</v>
      </c>
      <c r="E143" s="59" t="s">
        <v>66</v>
      </c>
      <c r="F143" s="60" t="s">
        <v>67</v>
      </c>
      <c r="G143" s="9"/>
    </row>
    <row r="144" spans="1:8" hidden="1" x14ac:dyDescent="0.2">
      <c r="A144" s="16" t="str">
        <f>+A137</f>
        <v>Coletor</v>
      </c>
      <c r="B144" s="17" t="s">
        <v>10</v>
      </c>
      <c r="C144" s="95">
        <f>E44+E45</f>
        <v>6</v>
      </c>
      <c r="D144" s="84"/>
      <c r="E144" s="49">
        <f>C144*D144</f>
        <v>0</v>
      </c>
      <c r="F144" s="23"/>
      <c r="G144" s="9"/>
    </row>
    <row r="145" spans="1:7" ht="13.5" thickBot="1" x14ac:dyDescent="0.25">
      <c r="A145" s="16" t="str">
        <f>A138</f>
        <v>Motorista</v>
      </c>
      <c r="B145" s="17" t="s">
        <v>10</v>
      </c>
      <c r="C145" s="95">
        <f>E46</f>
        <v>1</v>
      </c>
      <c r="D145" s="84">
        <f>97.24*0.8</f>
        <v>77.792000000000002</v>
      </c>
      <c r="E145" s="49">
        <f>C145*D145</f>
        <v>77.792000000000002</v>
      </c>
      <c r="F145" s="23"/>
      <c r="G145" s="9"/>
    </row>
    <row r="146" spans="1:7" ht="13.5" thickBot="1" x14ac:dyDescent="0.25">
      <c r="D146" s="115" t="s">
        <v>185</v>
      </c>
      <c r="E146" s="287">
        <f>E125</f>
        <v>0.84090909090909094</v>
      </c>
      <c r="F146" s="22">
        <f>SUM(E144:E145)*E146</f>
        <v>65.415999999999997</v>
      </c>
      <c r="G146" s="9"/>
    </row>
    <row r="147" spans="1:7" x14ac:dyDescent="0.2">
      <c r="D147" s="115"/>
      <c r="E147" s="336"/>
      <c r="G147" s="9"/>
    </row>
    <row r="148" spans="1:7" ht="13.5" thickBot="1" x14ac:dyDescent="0.25">
      <c r="A148" s="7" t="s">
        <v>416</v>
      </c>
      <c r="B148" s="7"/>
      <c r="C148" s="7"/>
      <c r="D148" s="306"/>
      <c r="E148" s="306"/>
      <c r="F148" s="23"/>
      <c r="G148" s="9"/>
    </row>
    <row r="149" spans="1:7" ht="13.5" thickBot="1" x14ac:dyDescent="0.25">
      <c r="A149" s="57" t="s">
        <v>64</v>
      </c>
      <c r="B149" s="58" t="s">
        <v>65</v>
      </c>
      <c r="C149" s="58" t="s">
        <v>42</v>
      </c>
      <c r="D149" s="59" t="s">
        <v>224</v>
      </c>
      <c r="E149" s="59" t="s">
        <v>66</v>
      </c>
      <c r="F149" s="60" t="s">
        <v>67</v>
      </c>
      <c r="G149" s="9"/>
    </row>
    <row r="150" spans="1:7" ht="13.5" thickBot="1" x14ac:dyDescent="0.25">
      <c r="A150" s="299" t="s">
        <v>377</v>
      </c>
      <c r="B150" s="333" t="s">
        <v>10</v>
      </c>
      <c r="C150" s="337">
        <f>C87</f>
        <v>6</v>
      </c>
      <c r="D150" s="338">
        <v>17.32</v>
      </c>
      <c r="E150" s="339">
        <f>C150*D150</f>
        <v>103.92</v>
      </c>
      <c r="F150" s="23"/>
      <c r="G150" s="9"/>
    </row>
    <row r="151" spans="1:7" ht="13.5" hidden="1" thickBot="1" x14ac:dyDescent="0.25">
      <c r="A151" s="299"/>
      <c r="B151" s="333" t="s">
        <v>10</v>
      </c>
      <c r="C151" s="337">
        <v>0</v>
      </c>
      <c r="D151" s="338">
        <v>0</v>
      </c>
      <c r="E151" s="339"/>
      <c r="F151" s="23"/>
      <c r="G151" s="9"/>
    </row>
    <row r="152" spans="1:7" ht="13.5" thickBot="1" x14ac:dyDescent="0.25">
      <c r="A152" s="340"/>
      <c r="B152" s="340"/>
      <c r="C152" s="7"/>
      <c r="D152" s="308" t="s">
        <v>376</v>
      </c>
      <c r="E152" s="347">
        <f>E69</f>
        <v>0.72727272727272729</v>
      </c>
      <c r="F152" s="341">
        <f>SUM(E150:E151)*E152</f>
        <v>75.578181818181818</v>
      </c>
      <c r="G152" s="9"/>
    </row>
    <row r="153" spans="1:7" ht="13.5" thickBot="1" x14ac:dyDescent="0.25">
      <c r="D153" s="115"/>
      <c r="E153" s="336"/>
      <c r="G153" s="9"/>
    </row>
    <row r="154" spans="1:7" ht="13.5" thickBot="1" x14ac:dyDescent="0.25">
      <c r="A154" s="24" t="s">
        <v>92</v>
      </c>
      <c r="B154" s="25"/>
      <c r="C154" s="25"/>
      <c r="D154" s="26"/>
      <c r="E154" s="27"/>
      <c r="F154" s="22">
        <f>F146+F140+F133+F125+F103+F88+F69+F152</f>
        <v>24810.211817980784</v>
      </c>
      <c r="G154" s="9"/>
    </row>
    <row r="156" spans="1:7" x14ac:dyDescent="0.2">
      <c r="A156" s="11" t="s">
        <v>47</v>
      </c>
      <c r="G156" s="9"/>
    </row>
    <row r="157" spans="1:7" ht="11.25" customHeight="1" x14ac:dyDescent="0.2">
      <c r="G157" s="9"/>
    </row>
    <row r="158" spans="1:7" ht="13.9" customHeight="1" x14ac:dyDescent="0.2">
      <c r="A158" s="649" t="s">
        <v>187</v>
      </c>
      <c r="G158" s="9"/>
    </row>
    <row r="159" spans="1:7" ht="11.25" customHeight="1" thickBot="1" x14ac:dyDescent="0.25">
      <c r="G159" s="9"/>
    </row>
    <row r="160" spans="1:7" ht="27.75" customHeight="1" thickBot="1" x14ac:dyDescent="0.25">
      <c r="A160" s="57" t="s">
        <v>64</v>
      </c>
      <c r="B160" s="58" t="s">
        <v>65</v>
      </c>
      <c r="C160" s="248" t="s">
        <v>246</v>
      </c>
      <c r="D160" s="59" t="s">
        <v>224</v>
      </c>
      <c r="E160" s="59" t="s">
        <v>66</v>
      </c>
      <c r="F160" s="60" t="s">
        <v>67</v>
      </c>
      <c r="G160" s="9"/>
    </row>
    <row r="161" spans="1:7" x14ac:dyDescent="0.2">
      <c r="A161" s="13" t="s">
        <v>68</v>
      </c>
      <c r="B161" s="14" t="s">
        <v>10</v>
      </c>
      <c r="C161" s="298">
        <v>12</v>
      </c>
      <c r="D161" s="285">
        <v>110</v>
      </c>
      <c r="E161" s="15">
        <f>IFERROR(D161/C161,0)</f>
        <v>9.1666666666666661</v>
      </c>
      <c r="G161" s="9"/>
    </row>
    <row r="162" spans="1:7" ht="13.15" customHeight="1" x14ac:dyDescent="0.2">
      <c r="A162" s="16" t="s">
        <v>30</v>
      </c>
      <c r="B162" s="17" t="s">
        <v>10</v>
      </c>
      <c r="C162" s="298">
        <v>4</v>
      </c>
      <c r="D162" s="297">
        <v>35</v>
      </c>
      <c r="E162" s="15">
        <f t="shared" ref="E162:E172" si="2">IFERROR(D162/C162,0)</f>
        <v>8.75</v>
      </c>
      <c r="G162" s="9"/>
    </row>
    <row r="163" spans="1:7" ht="13.15" customHeight="1" x14ac:dyDescent="0.2">
      <c r="A163" s="299" t="s">
        <v>429</v>
      </c>
      <c r="B163" s="17" t="s">
        <v>10</v>
      </c>
      <c r="C163" s="298">
        <v>4</v>
      </c>
      <c r="D163" s="297">
        <v>27</v>
      </c>
      <c r="E163" s="15">
        <f t="shared" ref="E163" si="3">IFERROR(D163/C163,0)</f>
        <v>6.75</v>
      </c>
      <c r="G163" s="9"/>
    </row>
    <row r="164" spans="1:7" x14ac:dyDescent="0.2">
      <c r="A164" s="299" t="s">
        <v>430</v>
      </c>
      <c r="B164" s="17" t="s">
        <v>10</v>
      </c>
      <c r="C164" s="298">
        <v>3</v>
      </c>
      <c r="D164" s="297">
        <v>35</v>
      </c>
      <c r="E164" s="15">
        <f t="shared" si="2"/>
        <v>11.666666666666666</v>
      </c>
      <c r="G164" s="9"/>
    </row>
    <row r="165" spans="1:7" x14ac:dyDescent="0.2">
      <c r="A165" s="299" t="s">
        <v>591</v>
      </c>
      <c r="B165" s="17" t="s">
        <v>10</v>
      </c>
      <c r="C165" s="298">
        <v>3</v>
      </c>
      <c r="D165" s="297">
        <v>37</v>
      </c>
      <c r="E165" s="15">
        <f t="shared" ref="E165" si="4">IFERROR(D165/C165,0)</f>
        <v>12.333333333333334</v>
      </c>
      <c r="G165" s="9"/>
    </row>
    <row r="166" spans="1:7" ht="13.15" customHeight="1" x14ac:dyDescent="0.2">
      <c r="A166" s="16" t="s">
        <v>32</v>
      </c>
      <c r="B166" s="17" t="s">
        <v>10</v>
      </c>
      <c r="C166" s="298">
        <v>6</v>
      </c>
      <c r="D166" s="297">
        <v>21</v>
      </c>
      <c r="E166" s="15">
        <f t="shared" si="2"/>
        <v>3.5</v>
      </c>
      <c r="G166" s="9"/>
    </row>
    <row r="167" spans="1:7" ht="13.9" customHeight="1" x14ac:dyDescent="0.2">
      <c r="A167" s="299" t="s">
        <v>558</v>
      </c>
      <c r="B167" s="17" t="s">
        <v>50</v>
      </c>
      <c r="C167" s="298">
        <v>6</v>
      </c>
      <c r="D167" s="297">
        <v>60</v>
      </c>
      <c r="E167" s="15">
        <f t="shared" si="2"/>
        <v>10</v>
      </c>
      <c r="G167" s="9"/>
    </row>
    <row r="168" spans="1:7" ht="13.15" customHeight="1" x14ac:dyDescent="0.2">
      <c r="A168" s="16" t="s">
        <v>93</v>
      </c>
      <c r="B168" s="17" t="s">
        <v>50</v>
      </c>
      <c r="C168" s="298">
        <v>2</v>
      </c>
      <c r="D168" s="297">
        <v>10</v>
      </c>
      <c r="E168" s="15">
        <f t="shared" si="2"/>
        <v>5</v>
      </c>
    </row>
    <row r="169" spans="1:7" x14ac:dyDescent="0.2">
      <c r="A169" s="16" t="s">
        <v>69</v>
      </c>
      <c r="B169" s="17" t="s">
        <v>10</v>
      </c>
      <c r="C169" s="298">
        <v>8</v>
      </c>
      <c r="D169" s="297">
        <v>32</v>
      </c>
      <c r="E169" s="15">
        <f t="shared" si="2"/>
        <v>4</v>
      </c>
    </row>
    <row r="170" spans="1:7" s="1" customFormat="1" x14ac:dyDescent="0.2">
      <c r="A170" s="2" t="s">
        <v>11</v>
      </c>
      <c r="B170" s="3" t="s">
        <v>10</v>
      </c>
      <c r="C170" s="298">
        <v>4</v>
      </c>
      <c r="D170" s="297">
        <v>30</v>
      </c>
      <c r="E170" s="15">
        <f t="shared" si="2"/>
        <v>7.5</v>
      </c>
      <c r="F170" s="37"/>
      <c r="G170" s="37"/>
    </row>
    <row r="171" spans="1:7" x14ac:dyDescent="0.2">
      <c r="A171" s="16" t="s">
        <v>33</v>
      </c>
      <c r="B171" s="17" t="s">
        <v>50</v>
      </c>
      <c r="C171" s="298">
        <v>2</v>
      </c>
      <c r="D171" s="297">
        <v>10</v>
      </c>
      <c r="E171" s="15">
        <f t="shared" si="2"/>
        <v>5</v>
      </c>
    </row>
    <row r="172" spans="1:7" ht="13.15" customHeight="1" x14ac:dyDescent="0.2">
      <c r="A172" s="16" t="s">
        <v>63</v>
      </c>
      <c r="B172" s="17" t="s">
        <v>51</v>
      </c>
      <c r="C172" s="298">
        <v>2</v>
      </c>
      <c r="D172" s="297">
        <v>20</v>
      </c>
      <c r="E172" s="15">
        <f t="shared" si="2"/>
        <v>10</v>
      </c>
    </row>
    <row r="173" spans="1:7" ht="13.5" thickBot="1" x14ac:dyDescent="0.25">
      <c r="A173" s="16" t="s">
        <v>5</v>
      </c>
      <c r="B173" s="17" t="s">
        <v>6</v>
      </c>
      <c r="C173" s="66">
        <f>E44+E45</f>
        <v>6</v>
      </c>
      <c r="D173" s="18">
        <f>+SUM(E161:E172)</f>
        <v>93.666666666666657</v>
      </c>
      <c r="E173" s="18">
        <f t="shared" ref="E173" si="5">C173*D173</f>
        <v>562</v>
      </c>
    </row>
    <row r="174" spans="1:7" ht="13.5" thickBot="1" x14ac:dyDescent="0.25">
      <c r="D174" s="115" t="s">
        <v>185</v>
      </c>
      <c r="E174" s="287">
        <f>$B$54</f>
        <v>0.72727272727272729</v>
      </c>
      <c r="F174" s="116">
        <f>E173*E174</f>
        <v>408.72727272727275</v>
      </c>
    </row>
    <row r="175" spans="1:7" ht="11.25" customHeight="1" x14ac:dyDescent="0.2"/>
    <row r="176" spans="1:7" ht="13.9" customHeight="1" x14ac:dyDescent="0.2">
      <c r="A176" s="9" t="s">
        <v>188</v>
      </c>
    </row>
    <row r="177" spans="1:7" ht="11.25" customHeight="1" thickBot="1" x14ac:dyDescent="0.25"/>
    <row r="178" spans="1:7" ht="24.75" thickBot="1" x14ac:dyDescent="0.25">
      <c r="A178" s="57" t="s">
        <v>64</v>
      </c>
      <c r="B178" s="58" t="s">
        <v>65</v>
      </c>
      <c r="C178" s="248" t="s">
        <v>246</v>
      </c>
      <c r="D178" s="59" t="s">
        <v>224</v>
      </c>
      <c r="E178" s="59" t="s">
        <v>66</v>
      </c>
      <c r="F178" s="60" t="s">
        <v>67</v>
      </c>
    </row>
    <row r="179" spans="1:7" x14ac:dyDescent="0.2">
      <c r="A179" s="13" t="s">
        <v>68</v>
      </c>
      <c r="B179" s="14" t="s">
        <v>10</v>
      </c>
      <c r="C179" s="301">
        <f>C161</f>
        <v>12</v>
      </c>
      <c r="D179" s="15">
        <f>+D161</f>
        <v>110</v>
      </c>
      <c r="E179" s="15">
        <f>IFERROR(D179/C179,0)</f>
        <v>9.1666666666666661</v>
      </c>
    </row>
    <row r="180" spans="1:7" x14ac:dyDescent="0.2">
      <c r="A180" s="16" t="s">
        <v>30</v>
      </c>
      <c r="B180" s="17" t="s">
        <v>10</v>
      </c>
      <c r="C180" s="301">
        <f>C162</f>
        <v>4</v>
      </c>
      <c r="D180" s="18">
        <f>+D162</f>
        <v>35</v>
      </c>
      <c r="E180" s="15">
        <f t="shared" ref="E180:E184" si="6">IFERROR(D180/C180,0)</f>
        <v>8.75</v>
      </c>
    </row>
    <row r="181" spans="1:7" x14ac:dyDescent="0.2">
      <c r="A181" s="16" t="s">
        <v>31</v>
      </c>
      <c r="B181" s="17" t="s">
        <v>10</v>
      </c>
      <c r="C181" s="301">
        <f>C164</f>
        <v>3</v>
      </c>
      <c r="D181" s="18">
        <f>+D164</f>
        <v>35</v>
      </c>
      <c r="E181" s="15">
        <f t="shared" si="6"/>
        <v>11.666666666666666</v>
      </c>
    </row>
    <row r="182" spans="1:7" x14ac:dyDescent="0.2">
      <c r="A182" s="16" t="str">
        <f>A167</f>
        <v xml:space="preserve">Botina de segurança c/ palmilha aço ou tênis </v>
      </c>
      <c r="B182" s="17" t="s">
        <v>50</v>
      </c>
      <c r="C182" s="301">
        <f>C167</f>
        <v>6</v>
      </c>
      <c r="D182" s="18">
        <f>+D167</f>
        <v>60</v>
      </c>
      <c r="E182" s="15">
        <f t="shared" si="6"/>
        <v>10</v>
      </c>
    </row>
    <row r="183" spans="1:7" x14ac:dyDescent="0.2">
      <c r="A183" s="16" t="s">
        <v>69</v>
      </c>
      <c r="B183" s="17" t="s">
        <v>10</v>
      </c>
      <c r="C183" s="301">
        <f>C169</f>
        <v>8</v>
      </c>
      <c r="D183" s="18">
        <f>+D169</f>
        <v>32</v>
      </c>
      <c r="E183" s="15">
        <f t="shared" si="6"/>
        <v>4</v>
      </c>
      <c r="G183" s="9"/>
    </row>
    <row r="184" spans="1:7" x14ac:dyDescent="0.2">
      <c r="A184" s="16" t="s">
        <v>63</v>
      </c>
      <c r="B184" s="17" t="s">
        <v>51</v>
      </c>
      <c r="C184" s="301">
        <f>C172</f>
        <v>2</v>
      </c>
      <c r="D184" s="18">
        <f>+D172</f>
        <v>20</v>
      </c>
      <c r="E184" s="15">
        <f t="shared" si="6"/>
        <v>10</v>
      </c>
      <c r="G184" s="9"/>
    </row>
    <row r="185" spans="1:7" ht="13.5" thickBot="1" x14ac:dyDescent="0.25">
      <c r="A185" s="16" t="s">
        <v>5</v>
      </c>
      <c r="B185" s="17" t="s">
        <v>6</v>
      </c>
      <c r="C185" s="66">
        <f>E47</f>
        <v>2</v>
      </c>
      <c r="D185" s="18">
        <f>+SUM(E179:E184)</f>
        <v>53.583333333333329</v>
      </c>
      <c r="E185" s="18">
        <f t="shared" ref="E185" si="7">C185*D185</f>
        <v>107.16666666666666</v>
      </c>
      <c r="G185" s="9"/>
    </row>
    <row r="186" spans="1:7" ht="13.5" thickBot="1" x14ac:dyDescent="0.25">
      <c r="D186" s="115" t="s">
        <v>185</v>
      </c>
      <c r="E186" s="287">
        <f>E125</f>
        <v>0.84090909090909094</v>
      </c>
      <c r="F186" s="116">
        <f>E185*E186</f>
        <v>90.117424242424235</v>
      </c>
      <c r="G186" s="9"/>
    </row>
    <row r="187" spans="1:7" ht="11.25" customHeight="1" thickBot="1" x14ac:dyDescent="0.25">
      <c r="G187" s="9"/>
    </row>
    <row r="188" spans="1:7" ht="13.5" thickBot="1" x14ac:dyDescent="0.25">
      <c r="A188" s="24" t="s">
        <v>189</v>
      </c>
      <c r="B188" s="28"/>
      <c r="C188" s="28"/>
      <c r="D188" s="29"/>
      <c r="E188" s="30"/>
      <c r="F188" s="21">
        <f>+F174+F186</f>
        <v>498.844696969697</v>
      </c>
      <c r="G188" s="9"/>
    </row>
    <row r="189" spans="1:7" ht="11.25" customHeight="1" x14ac:dyDescent="0.2">
      <c r="G189" s="9"/>
    </row>
    <row r="190" spans="1:7" x14ac:dyDescent="0.2">
      <c r="A190" s="11" t="s">
        <v>56</v>
      </c>
      <c r="G190" s="9"/>
    </row>
    <row r="191" spans="1:7" ht="11.25" customHeight="1" x14ac:dyDescent="0.2">
      <c r="B191" s="100"/>
      <c r="G191" s="9"/>
    </row>
    <row r="192" spans="1:7" x14ac:dyDescent="0.2">
      <c r="A192" s="7" t="s">
        <v>353</v>
      </c>
      <c r="G192" s="9"/>
    </row>
    <row r="193" spans="1:10" ht="11.25" customHeight="1" x14ac:dyDescent="0.2">
      <c r="G193" s="9"/>
    </row>
    <row r="194" spans="1:10" ht="13.5" thickBot="1" x14ac:dyDescent="0.25">
      <c r="A194" s="100" t="s">
        <v>48</v>
      </c>
      <c r="G194" s="9"/>
    </row>
    <row r="195" spans="1:10" ht="13.5" thickBot="1" x14ac:dyDescent="0.25">
      <c r="A195" s="57" t="s">
        <v>64</v>
      </c>
      <c r="B195" s="58" t="s">
        <v>65</v>
      </c>
      <c r="C195" s="58" t="s">
        <v>42</v>
      </c>
      <c r="D195" s="59" t="s">
        <v>224</v>
      </c>
      <c r="E195" s="59" t="s">
        <v>66</v>
      </c>
      <c r="F195" s="60" t="s">
        <v>67</v>
      </c>
      <c r="G195" s="9"/>
    </row>
    <row r="196" spans="1:10" x14ac:dyDescent="0.2">
      <c r="A196" s="13" t="s">
        <v>103</v>
      </c>
      <c r="B196" s="14" t="s">
        <v>10</v>
      </c>
      <c r="C196" s="14">
        <v>1</v>
      </c>
      <c r="D196" s="82">
        <v>241000</v>
      </c>
      <c r="E196" s="15">
        <f>C196*D196</f>
        <v>241000</v>
      </c>
      <c r="G196" s="9"/>
    </row>
    <row r="197" spans="1:10" x14ac:dyDescent="0.2">
      <c r="A197" s="16" t="s">
        <v>100</v>
      </c>
      <c r="B197" s="17" t="s">
        <v>101</v>
      </c>
      <c r="C197" s="81">
        <v>10</v>
      </c>
      <c r="D197" s="78"/>
      <c r="E197" s="18"/>
      <c r="G197" s="9"/>
    </row>
    <row r="198" spans="1:10" x14ac:dyDescent="0.2">
      <c r="A198" s="16" t="s">
        <v>202</v>
      </c>
      <c r="B198" s="17" t="s">
        <v>101</v>
      </c>
      <c r="C198" s="81">
        <v>0</v>
      </c>
      <c r="D198" s="18"/>
      <c r="E198" s="18"/>
      <c r="F198" s="20"/>
      <c r="I198" s="80"/>
      <c r="J198" s="80"/>
    </row>
    <row r="199" spans="1:10" x14ac:dyDescent="0.2">
      <c r="A199" s="16" t="s">
        <v>102</v>
      </c>
      <c r="B199" s="17" t="s">
        <v>2</v>
      </c>
      <c r="C199" s="131">
        <f>IFERROR(VLOOKUP(C197,'13. Depr'!A3:B17,2,FALSE),0)</f>
        <v>65.180000000000007</v>
      </c>
      <c r="D199" s="18">
        <f>E196</f>
        <v>241000</v>
      </c>
      <c r="E199" s="18">
        <f>C199*D199/100</f>
        <v>157083.80000000002</v>
      </c>
    </row>
    <row r="200" spans="1:10" ht="13.5" thickBot="1" x14ac:dyDescent="0.25">
      <c r="A200" s="255" t="s">
        <v>52</v>
      </c>
      <c r="B200" s="256" t="s">
        <v>8</v>
      </c>
      <c r="C200" s="256">
        <f>C197*12</f>
        <v>120</v>
      </c>
      <c r="D200" s="257">
        <f>IF(C198&lt;=C197,E199,0)</f>
        <v>157083.80000000002</v>
      </c>
      <c r="E200" s="257">
        <f>IFERROR(D200/C200,0)</f>
        <v>1309.0316666666668</v>
      </c>
    </row>
    <row r="201" spans="1:10" ht="13.5" thickTop="1" x14ac:dyDescent="0.2">
      <c r="A201" s="278" t="s">
        <v>354</v>
      </c>
      <c r="B201" s="14" t="s">
        <v>10</v>
      </c>
      <c r="C201" s="14">
        <f>C196</f>
        <v>1</v>
      </c>
      <c r="D201" s="82">
        <v>110000</v>
      </c>
      <c r="E201" s="15">
        <f>C201*D201</f>
        <v>110000</v>
      </c>
      <c r="G201" s="9"/>
    </row>
    <row r="202" spans="1:10" x14ac:dyDescent="0.2">
      <c r="A202" s="299" t="s">
        <v>100</v>
      </c>
      <c r="B202" s="17" t="s">
        <v>101</v>
      </c>
      <c r="C202" s="81">
        <v>10</v>
      </c>
      <c r="D202" s="18"/>
      <c r="E202" s="18"/>
    </row>
    <row r="203" spans="1:10" x14ac:dyDescent="0.2">
      <c r="A203" s="299" t="s">
        <v>355</v>
      </c>
      <c r="B203" s="17" t="s">
        <v>101</v>
      </c>
      <c r="C203" s="81">
        <v>0</v>
      </c>
      <c r="D203" s="18"/>
      <c r="E203" s="18"/>
      <c r="F203" s="20"/>
      <c r="I203" s="80"/>
      <c r="J203" s="80"/>
    </row>
    <row r="204" spans="1:10" x14ac:dyDescent="0.2">
      <c r="A204" s="299" t="s">
        <v>102</v>
      </c>
      <c r="B204" s="17" t="s">
        <v>2</v>
      </c>
      <c r="C204" s="132">
        <f>IFERROR(VLOOKUP(C202,'13. Depr'!A3:B17,2,FALSE),0)</f>
        <v>65.180000000000007</v>
      </c>
      <c r="D204" s="18">
        <f>E201</f>
        <v>110000</v>
      </c>
      <c r="E204" s="18">
        <f>C204*D204/100</f>
        <v>71698.000000000015</v>
      </c>
    </row>
    <row r="205" spans="1:10" x14ac:dyDescent="0.2">
      <c r="A205" s="96" t="s">
        <v>356</v>
      </c>
      <c r="B205" s="97" t="s">
        <v>8</v>
      </c>
      <c r="C205" s="97">
        <f>C202*12</f>
        <v>120</v>
      </c>
      <c r="D205" s="98">
        <f>IF(C203&lt;=C202,E204,0)</f>
        <v>71698.000000000015</v>
      </c>
      <c r="E205" s="98">
        <f>IFERROR(D205/C205,0)</f>
        <v>597.48333333333346</v>
      </c>
    </row>
    <row r="206" spans="1:10" x14ac:dyDescent="0.2">
      <c r="A206" s="96" t="s">
        <v>397</v>
      </c>
      <c r="B206" s="97" t="s">
        <v>8</v>
      </c>
      <c r="C206" s="97">
        <v>1</v>
      </c>
      <c r="D206" s="98">
        <f>IF(C204&lt;=C203,E205,0)</f>
        <v>0</v>
      </c>
      <c r="E206" s="98">
        <f>(E200+E205)*0.1</f>
        <v>190.65150000000006</v>
      </c>
    </row>
    <row r="207" spans="1:10" x14ac:dyDescent="0.2">
      <c r="A207" s="109" t="s">
        <v>249</v>
      </c>
      <c r="B207" s="110"/>
      <c r="C207" s="110"/>
      <c r="D207" s="111"/>
      <c r="E207" s="112">
        <f>E200+E205+E206</f>
        <v>2097.1665000000003</v>
      </c>
    </row>
    <row r="208" spans="1:10" ht="13.5" thickBot="1" x14ac:dyDescent="0.25">
      <c r="A208" s="96" t="s">
        <v>250</v>
      </c>
      <c r="B208" s="97" t="s">
        <v>10</v>
      </c>
      <c r="C208" s="81">
        <v>2</v>
      </c>
      <c r="D208" s="98">
        <f>E207</f>
        <v>2097.1665000000003</v>
      </c>
      <c r="E208" s="112">
        <f>C208*D208</f>
        <v>4194.3330000000005</v>
      </c>
    </row>
    <row r="209" spans="1:10" ht="13.5" thickBot="1" x14ac:dyDescent="0.25">
      <c r="A209" s="253"/>
      <c r="B209" s="253"/>
      <c r="C209" s="253"/>
      <c r="D209" s="115" t="s">
        <v>185</v>
      </c>
      <c r="E209" s="287">
        <v>0.65910000000000002</v>
      </c>
      <c r="F209" s="21">
        <f>E208*E209</f>
        <v>2764.4848803000004</v>
      </c>
    </row>
    <row r="210" spans="1:10" ht="11.25" customHeight="1" x14ac:dyDescent="0.2"/>
    <row r="211" spans="1:10" ht="13.5" thickBot="1" x14ac:dyDescent="0.25">
      <c r="A211" s="100" t="s">
        <v>107</v>
      </c>
    </row>
    <row r="212" spans="1:10" ht="13.5" thickBot="1" x14ac:dyDescent="0.25">
      <c r="A212" s="102" t="s">
        <v>64</v>
      </c>
      <c r="B212" s="103" t="s">
        <v>65</v>
      </c>
      <c r="C212" s="103" t="s">
        <v>42</v>
      </c>
      <c r="D212" s="59" t="s">
        <v>224</v>
      </c>
      <c r="E212" s="104" t="s">
        <v>66</v>
      </c>
      <c r="F212" s="60" t="s">
        <v>67</v>
      </c>
      <c r="I212" s="80"/>
      <c r="J212" s="80"/>
    </row>
    <row r="213" spans="1:10" x14ac:dyDescent="0.2">
      <c r="A213" s="16" t="s">
        <v>106</v>
      </c>
      <c r="B213" s="17" t="s">
        <v>10</v>
      </c>
      <c r="C213" s="14">
        <v>1</v>
      </c>
      <c r="D213" s="18">
        <f>D196</f>
        <v>241000</v>
      </c>
      <c r="E213" s="18">
        <f>C213*D213</f>
        <v>241000</v>
      </c>
      <c r="F213" s="20"/>
      <c r="I213" s="80"/>
      <c r="J213" s="80"/>
    </row>
    <row r="214" spans="1:10" x14ac:dyDescent="0.2">
      <c r="A214" s="16" t="s">
        <v>205</v>
      </c>
      <c r="B214" s="17" t="s">
        <v>2</v>
      </c>
      <c r="C214" s="83">
        <v>10</v>
      </c>
      <c r="D214" s="18"/>
      <c r="E214" s="18"/>
      <c r="F214" s="20"/>
      <c r="I214" s="80"/>
      <c r="J214" s="80"/>
    </row>
    <row r="215" spans="1:10" x14ac:dyDescent="0.2">
      <c r="A215" s="16" t="s">
        <v>203</v>
      </c>
      <c r="B215" s="17" t="s">
        <v>35</v>
      </c>
      <c r="C215" s="137">
        <f>IFERROR(IF(C198&lt;=C197,E196-(C199/(100*C197)*C198)*E196,E196-E199),0)</f>
        <v>241000</v>
      </c>
      <c r="D215" s="18"/>
      <c r="E215" s="18"/>
      <c r="F215" s="20"/>
      <c r="I215" s="80"/>
      <c r="J215" s="80"/>
    </row>
    <row r="216" spans="1:10" x14ac:dyDescent="0.2">
      <c r="A216" s="16" t="s">
        <v>109</v>
      </c>
      <c r="B216" s="17" t="s">
        <v>35</v>
      </c>
      <c r="C216" s="78">
        <f>IFERROR(IF(C198&gt;=C197,C215,((((C215)-(E196-E199))*(((C197-C198)+1)/(2*(C197-C198))))+(E196-E199))),0)</f>
        <v>170312.28999999998</v>
      </c>
      <c r="D216" s="18"/>
      <c r="E216" s="18"/>
      <c r="F216" s="20"/>
      <c r="I216" s="80"/>
      <c r="J216" s="80"/>
    </row>
    <row r="217" spans="1:10" ht="13.5" thickBot="1" x14ac:dyDescent="0.25">
      <c r="A217" s="255" t="s">
        <v>110</v>
      </c>
      <c r="B217" s="256" t="s">
        <v>35</v>
      </c>
      <c r="C217" s="256"/>
      <c r="D217" s="258">
        <f>C214*C216/12/100</f>
        <v>1419.2690833333334</v>
      </c>
      <c r="E217" s="257">
        <f>D217</f>
        <v>1419.2690833333334</v>
      </c>
      <c r="F217" s="20"/>
      <c r="I217" s="80"/>
      <c r="J217" s="80"/>
    </row>
    <row r="218" spans="1:10" ht="13.5" thickTop="1" x14ac:dyDescent="0.2">
      <c r="A218" s="278" t="s">
        <v>354</v>
      </c>
      <c r="B218" s="14" t="s">
        <v>10</v>
      </c>
      <c r="C218" s="14">
        <f>C201</f>
        <v>1</v>
      </c>
      <c r="D218" s="15">
        <f>D201</f>
        <v>110000</v>
      </c>
      <c r="E218" s="15">
        <f>C218*D218</f>
        <v>110000</v>
      </c>
      <c r="F218" s="20"/>
      <c r="I218" s="80"/>
      <c r="J218" s="80"/>
    </row>
    <row r="219" spans="1:10" x14ac:dyDescent="0.2">
      <c r="A219" s="299" t="s">
        <v>205</v>
      </c>
      <c r="B219" s="17" t="s">
        <v>2</v>
      </c>
      <c r="C219" s="646">
        <f>C214</f>
        <v>10</v>
      </c>
      <c r="D219" s="18"/>
      <c r="E219" s="18"/>
      <c r="F219" s="20"/>
      <c r="I219" s="80"/>
      <c r="J219" s="80"/>
    </row>
    <row r="220" spans="1:10" x14ac:dyDescent="0.2">
      <c r="A220" s="16" t="s">
        <v>204</v>
      </c>
      <c r="B220" s="17" t="s">
        <v>35</v>
      </c>
      <c r="C220" s="137">
        <f>IFERROR(IF(C203&lt;=C202,E201-(C204/(100*C202)*C203)*E201,E201-E204),0)</f>
        <v>110000</v>
      </c>
      <c r="D220" s="18"/>
      <c r="E220" s="18"/>
      <c r="F220" s="20"/>
      <c r="I220" s="80"/>
      <c r="J220" s="80"/>
    </row>
    <row r="221" spans="1:10" x14ac:dyDescent="0.2">
      <c r="A221" s="299" t="s">
        <v>393</v>
      </c>
      <c r="B221" s="17" t="s">
        <v>35</v>
      </c>
      <c r="C221" s="78">
        <f>IFERROR(IF(C203&gt;=C202,C220,((((C220)-(E201-E204))*(((C202-C203)+1)/(2*(C202-C203))))+(E201-E204))),0)</f>
        <v>77735.899999999994</v>
      </c>
      <c r="D221" s="18"/>
      <c r="E221" s="18"/>
      <c r="F221" s="20"/>
      <c r="I221" s="80"/>
      <c r="J221" s="80"/>
    </row>
    <row r="222" spans="1:10" x14ac:dyDescent="0.2">
      <c r="A222" s="96" t="s">
        <v>394</v>
      </c>
      <c r="B222" s="97" t="s">
        <v>35</v>
      </c>
      <c r="C222" s="97"/>
      <c r="D222" s="106">
        <f>C219*C221/12/100</f>
        <v>647.79916666666668</v>
      </c>
      <c r="E222" s="98">
        <f>D222</f>
        <v>647.79916666666668</v>
      </c>
      <c r="F222" s="20"/>
      <c r="I222" s="80"/>
      <c r="J222" s="80"/>
    </row>
    <row r="223" spans="1:10" x14ac:dyDescent="0.2">
      <c r="A223" s="96" t="s">
        <v>397</v>
      </c>
      <c r="B223" s="97" t="s">
        <v>8</v>
      </c>
      <c r="C223" s="97">
        <v>1</v>
      </c>
      <c r="D223" s="98"/>
      <c r="E223" s="98">
        <f>(E217+E222)*0.1</f>
        <v>206.70682500000004</v>
      </c>
      <c r="F223" s="20"/>
      <c r="I223" s="80"/>
      <c r="J223" s="80"/>
    </row>
    <row r="224" spans="1:10" x14ac:dyDescent="0.2">
      <c r="A224" s="109" t="s">
        <v>249</v>
      </c>
      <c r="B224" s="110"/>
      <c r="C224" s="110"/>
      <c r="D224" s="111"/>
      <c r="E224" s="112">
        <f>E217+E222+E223</f>
        <v>2273.7750750000005</v>
      </c>
      <c r="F224" s="20"/>
      <c r="G224" s="332"/>
      <c r="I224" s="80"/>
      <c r="J224" s="80"/>
    </row>
    <row r="225" spans="1:10" ht="13.5" thickBot="1" x14ac:dyDescent="0.25">
      <c r="A225" s="96" t="s">
        <v>250</v>
      </c>
      <c r="B225" s="97" t="s">
        <v>10</v>
      </c>
      <c r="C225" s="17">
        <f>C208</f>
        <v>2</v>
      </c>
      <c r="D225" s="98">
        <f>E224</f>
        <v>2273.7750750000005</v>
      </c>
      <c r="E225" s="112">
        <f>C225*D225</f>
        <v>4547.5501500000009</v>
      </c>
      <c r="F225" s="20"/>
      <c r="I225" s="80"/>
      <c r="J225" s="80"/>
    </row>
    <row r="226" spans="1:10" ht="13.5" thickBot="1" x14ac:dyDescent="0.25">
      <c r="C226" s="19"/>
      <c r="D226" s="115" t="s">
        <v>185</v>
      </c>
      <c r="E226" s="287">
        <f>E209</f>
        <v>0.65910000000000002</v>
      </c>
      <c r="F226" s="21">
        <f>E225*E226</f>
        <v>2997.2903038650006</v>
      </c>
      <c r="I226" s="80"/>
      <c r="J226" s="80"/>
    </row>
    <row r="227" spans="1:10" ht="11.25" customHeight="1" x14ac:dyDescent="0.2">
      <c r="I227" s="80"/>
      <c r="J227" s="80"/>
    </row>
    <row r="228" spans="1:10" ht="13.5" thickBot="1" x14ac:dyDescent="0.25">
      <c r="A228" s="9" t="s">
        <v>53</v>
      </c>
      <c r="I228" s="80"/>
      <c r="J228" s="80"/>
    </row>
    <row r="229" spans="1:10" ht="13.5" thickBot="1" x14ac:dyDescent="0.25">
      <c r="A229" s="57" t="s">
        <v>64</v>
      </c>
      <c r="B229" s="58" t="s">
        <v>65</v>
      </c>
      <c r="C229" s="58" t="s">
        <v>42</v>
      </c>
      <c r="D229" s="59" t="s">
        <v>224</v>
      </c>
      <c r="E229" s="59" t="s">
        <v>66</v>
      </c>
      <c r="F229" s="60" t="s">
        <v>67</v>
      </c>
      <c r="I229" s="80"/>
      <c r="J229" s="80"/>
    </row>
    <row r="230" spans="1:10" x14ac:dyDescent="0.2">
      <c r="A230" s="13" t="s">
        <v>12</v>
      </c>
      <c r="B230" s="14" t="s">
        <v>10</v>
      </c>
      <c r="C230" s="15">
        <f>C208</f>
        <v>2</v>
      </c>
      <c r="D230" s="15">
        <f>0.01*($C$215)</f>
        <v>2410</v>
      </c>
      <c r="E230" s="15">
        <f>C230*D230</f>
        <v>4820</v>
      </c>
      <c r="I230" s="80"/>
      <c r="J230" s="80"/>
    </row>
    <row r="231" spans="1:10" x14ac:dyDescent="0.2">
      <c r="A231" s="16" t="s">
        <v>184</v>
      </c>
      <c r="B231" s="17" t="s">
        <v>10</v>
      </c>
      <c r="C231" s="15">
        <f>C208</f>
        <v>2</v>
      </c>
      <c r="D231" s="84">
        <v>85.22</v>
      </c>
      <c r="E231" s="18">
        <f>C231*D231</f>
        <v>170.44</v>
      </c>
      <c r="I231" s="80"/>
      <c r="J231" s="80"/>
    </row>
    <row r="232" spans="1:10" x14ac:dyDescent="0.2">
      <c r="A232" s="16" t="s">
        <v>13</v>
      </c>
      <c r="B232" s="17" t="s">
        <v>10</v>
      </c>
      <c r="C232" s="15">
        <f>C208</f>
        <v>2</v>
      </c>
      <c r="D232" s="84">
        <v>2760</v>
      </c>
      <c r="E232" s="18">
        <f>C232*D232</f>
        <v>5520</v>
      </c>
      <c r="F232" s="31"/>
      <c r="I232" s="80"/>
      <c r="J232" s="80"/>
    </row>
    <row r="233" spans="1:10" ht="13.5" thickBot="1" x14ac:dyDescent="0.25">
      <c r="A233" s="96" t="s">
        <v>14</v>
      </c>
      <c r="B233" s="97" t="s">
        <v>8</v>
      </c>
      <c r="C233" s="97">
        <v>12</v>
      </c>
      <c r="D233" s="98">
        <f>SUM(E230:E232)</f>
        <v>10510.439999999999</v>
      </c>
      <c r="E233" s="98">
        <f>D233/C233</f>
        <v>875.86999999999989</v>
      </c>
      <c r="I233" s="80"/>
      <c r="J233" s="80"/>
    </row>
    <row r="234" spans="1:10" ht="13.5" thickBot="1" x14ac:dyDescent="0.25">
      <c r="D234" s="115" t="s">
        <v>185</v>
      </c>
      <c r="E234" s="287">
        <f>E226</f>
        <v>0.65910000000000002</v>
      </c>
      <c r="F234" s="116">
        <f>E233*E234</f>
        <v>577.28591699999993</v>
      </c>
      <c r="I234" s="80"/>
      <c r="J234" s="80"/>
    </row>
    <row r="235" spans="1:10" ht="11.25" customHeight="1" x14ac:dyDescent="0.2">
      <c r="I235" s="80"/>
      <c r="J235" s="80"/>
    </row>
    <row r="236" spans="1:10" x14ac:dyDescent="0.2">
      <c r="A236" s="9" t="s">
        <v>54</v>
      </c>
      <c r="B236" s="32"/>
      <c r="I236" s="80"/>
      <c r="J236" s="80"/>
    </row>
    <row r="237" spans="1:10" x14ac:dyDescent="0.2">
      <c r="B237" s="32"/>
      <c r="I237" s="80"/>
      <c r="J237" s="80"/>
    </row>
    <row r="238" spans="1:10" x14ac:dyDescent="0.2">
      <c r="A238" s="96" t="s">
        <v>112</v>
      </c>
      <c r="B238" s="305">
        <f>'12. Roteiros'!O18</f>
        <v>3201.5422285714285</v>
      </c>
      <c r="I238" s="80"/>
      <c r="J238" s="80"/>
    </row>
    <row r="239" spans="1:10" ht="13.5" thickBot="1" x14ac:dyDescent="0.25">
      <c r="B239" s="32"/>
      <c r="I239" s="80"/>
      <c r="J239" s="80"/>
    </row>
    <row r="240" spans="1:10" ht="13.5" thickBot="1" x14ac:dyDescent="0.25">
      <c r="A240" s="57" t="s">
        <v>64</v>
      </c>
      <c r="B240" s="58" t="s">
        <v>65</v>
      </c>
      <c r="C240" s="58" t="s">
        <v>248</v>
      </c>
      <c r="D240" s="59" t="s">
        <v>224</v>
      </c>
      <c r="E240" s="59" t="s">
        <v>66</v>
      </c>
      <c r="F240" s="60" t="s">
        <v>67</v>
      </c>
      <c r="I240" s="80"/>
      <c r="J240" s="80"/>
    </row>
    <row r="241" spans="1:10" x14ac:dyDescent="0.2">
      <c r="A241" s="13" t="s">
        <v>15</v>
      </c>
      <c r="B241" s="14" t="s">
        <v>16</v>
      </c>
      <c r="C241" s="91">
        <v>2.2999999999999998</v>
      </c>
      <c r="D241" s="82">
        <v>6.4</v>
      </c>
      <c r="E241" s="15"/>
      <c r="I241" s="80"/>
      <c r="J241" s="80"/>
    </row>
    <row r="242" spans="1:10" x14ac:dyDescent="0.2">
      <c r="A242" s="16" t="s">
        <v>17</v>
      </c>
      <c r="B242" s="17" t="s">
        <v>18</v>
      </c>
      <c r="C242" s="89">
        <f>B238</f>
        <v>3201.5422285714285</v>
      </c>
      <c r="D242" s="252">
        <f>IFERROR(+D241/C241,"-")</f>
        <v>2.7826086956521743</v>
      </c>
      <c r="E242" s="18">
        <f>IFERROR(C242*D242,"-")</f>
        <v>8908.639244720498</v>
      </c>
      <c r="I242" s="80"/>
      <c r="J242" s="80"/>
    </row>
    <row r="243" spans="1:10" x14ac:dyDescent="0.2">
      <c r="A243" s="16" t="s">
        <v>225</v>
      </c>
      <c r="B243" s="17" t="s">
        <v>19</v>
      </c>
      <c r="C243" s="93">
        <v>1.33</v>
      </c>
      <c r="D243" s="84">
        <v>16</v>
      </c>
      <c r="E243" s="18"/>
      <c r="G243" s="105"/>
      <c r="I243" s="80"/>
      <c r="J243" s="80"/>
    </row>
    <row r="244" spans="1:10" x14ac:dyDescent="0.2">
      <c r="A244" s="16" t="s">
        <v>20</v>
      </c>
      <c r="B244" s="17" t="s">
        <v>18</v>
      </c>
      <c r="C244" s="89">
        <f>C242</f>
        <v>3201.5422285714285</v>
      </c>
      <c r="D244" s="249">
        <f>+C243*D243/1000</f>
        <v>2.128E-2</v>
      </c>
      <c r="E244" s="18">
        <f>C244*D244</f>
        <v>68.128818624000004</v>
      </c>
      <c r="G244" s="105"/>
      <c r="I244" s="80"/>
      <c r="J244" s="80"/>
    </row>
    <row r="245" spans="1:10" x14ac:dyDescent="0.2">
      <c r="A245" s="16" t="s">
        <v>226</v>
      </c>
      <c r="B245" s="17" t="s">
        <v>19</v>
      </c>
      <c r="C245" s="93">
        <v>0.18</v>
      </c>
      <c r="D245" s="84">
        <v>25</v>
      </c>
      <c r="E245" s="18"/>
      <c r="G245" s="105"/>
      <c r="I245" s="80"/>
      <c r="J245" s="80"/>
    </row>
    <row r="246" spans="1:10" x14ac:dyDescent="0.2">
      <c r="A246" s="16" t="s">
        <v>21</v>
      </c>
      <c r="B246" s="17" t="s">
        <v>18</v>
      </c>
      <c r="C246" s="89">
        <f>C242</f>
        <v>3201.5422285714285</v>
      </c>
      <c r="D246" s="249">
        <f>+C245*D245/1000</f>
        <v>4.4999999999999997E-3</v>
      </c>
      <c r="E246" s="18">
        <f>C246*D246</f>
        <v>14.406940028571427</v>
      </c>
      <c r="G246" s="105"/>
      <c r="I246" s="80"/>
      <c r="J246" s="80"/>
    </row>
    <row r="247" spans="1:10" x14ac:dyDescent="0.2">
      <c r="A247" s="16" t="s">
        <v>227</v>
      </c>
      <c r="B247" s="17" t="s">
        <v>19</v>
      </c>
      <c r="C247" s="93">
        <v>2</v>
      </c>
      <c r="D247" s="84">
        <v>21</v>
      </c>
      <c r="E247" s="18"/>
      <c r="G247" s="105"/>
      <c r="I247" s="80"/>
      <c r="J247" s="80"/>
    </row>
    <row r="248" spans="1:10" x14ac:dyDescent="0.2">
      <c r="A248" s="16" t="s">
        <v>22</v>
      </c>
      <c r="B248" s="17" t="s">
        <v>18</v>
      </c>
      <c r="C248" s="89">
        <f>C242</f>
        <v>3201.5422285714285</v>
      </c>
      <c r="D248" s="249">
        <f>+C247*D247/1000</f>
        <v>4.2000000000000003E-2</v>
      </c>
      <c r="E248" s="18">
        <f>C248*D248</f>
        <v>134.4647736</v>
      </c>
      <c r="G248" s="105"/>
      <c r="I248" s="80"/>
      <c r="J248" s="80"/>
    </row>
    <row r="249" spans="1:10" x14ac:dyDescent="0.2">
      <c r="A249" s="299" t="s">
        <v>392</v>
      </c>
      <c r="B249" s="333" t="s">
        <v>19</v>
      </c>
      <c r="C249" s="343">
        <v>20</v>
      </c>
      <c r="D249" s="311">
        <v>4</v>
      </c>
      <c r="E249" s="307"/>
      <c r="G249" s="105"/>
      <c r="I249" s="80"/>
      <c r="J249" s="80"/>
    </row>
    <row r="250" spans="1:10" x14ac:dyDescent="0.2">
      <c r="A250" s="299" t="s">
        <v>391</v>
      </c>
      <c r="B250" s="333" t="s">
        <v>18</v>
      </c>
      <c r="C250" s="310">
        <f>C244</f>
        <v>3201.5422285714285</v>
      </c>
      <c r="D250" s="312">
        <f>+C249*D249/1000</f>
        <v>0.08</v>
      </c>
      <c r="E250" s="307">
        <f>C250*D250</f>
        <v>256.1233782857143</v>
      </c>
      <c r="G250" s="105"/>
      <c r="I250" s="80"/>
      <c r="J250" s="80"/>
    </row>
    <row r="251" spans="1:10" x14ac:dyDescent="0.2">
      <c r="A251" s="16" t="s">
        <v>23</v>
      </c>
      <c r="B251" s="17" t="s">
        <v>24</v>
      </c>
      <c r="C251" s="93">
        <v>1</v>
      </c>
      <c r="D251" s="84">
        <v>20</v>
      </c>
      <c r="E251" s="18"/>
      <c r="G251" s="105"/>
      <c r="I251" s="80"/>
      <c r="J251" s="80"/>
    </row>
    <row r="252" spans="1:10" x14ac:dyDescent="0.2">
      <c r="A252" s="16" t="s">
        <v>25</v>
      </c>
      <c r="B252" s="17" t="s">
        <v>18</v>
      </c>
      <c r="C252" s="89">
        <f>C242</f>
        <v>3201.5422285714285</v>
      </c>
      <c r="D252" s="249">
        <f>+C251*D251/1000</f>
        <v>0.02</v>
      </c>
      <c r="E252" s="18">
        <f>C252*D252</f>
        <v>64.030844571428574</v>
      </c>
      <c r="G252" s="105"/>
      <c r="I252" s="80"/>
      <c r="J252" s="80"/>
    </row>
    <row r="253" spans="1:10" ht="13.5" thickBot="1" x14ac:dyDescent="0.25">
      <c r="A253" s="96" t="s">
        <v>247</v>
      </c>
      <c r="B253" s="97" t="s">
        <v>113</v>
      </c>
      <c r="C253" s="250"/>
      <c r="D253" s="251">
        <f>IFERROR(D242+D244+D246+D248+D252,0)</f>
        <v>2.8703886956521742</v>
      </c>
      <c r="E253" s="18"/>
      <c r="G253" s="105"/>
      <c r="I253" s="80"/>
      <c r="J253" s="80"/>
    </row>
    <row r="254" spans="1:10" ht="13.5" thickBot="1" x14ac:dyDescent="0.25">
      <c r="F254" s="21">
        <f>SUM(E241:E252)</f>
        <v>9445.7939998302136</v>
      </c>
      <c r="I254" s="80"/>
      <c r="J254" s="80"/>
    </row>
    <row r="255" spans="1:10" ht="11.25" customHeight="1" x14ac:dyDescent="0.2">
      <c r="I255" s="80"/>
      <c r="J255" s="80"/>
    </row>
    <row r="256" spans="1:10" ht="13.5" thickBot="1" x14ac:dyDescent="0.25">
      <c r="A256" s="9" t="s">
        <v>55</v>
      </c>
      <c r="I256" s="80"/>
      <c r="J256" s="80"/>
    </row>
    <row r="257" spans="1:10" ht="13.5" thickBot="1" x14ac:dyDescent="0.25">
      <c r="A257" s="57" t="s">
        <v>64</v>
      </c>
      <c r="B257" s="58" t="s">
        <v>65</v>
      </c>
      <c r="C257" s="58" t="s">
        <v>42</v>
      </c>
      <c r="D257" s="59" t="s">
        <v>224</v>
      </c>
      <c r="E257" s="59" t="s">
        <v>66</v>
      </c>
      <c r="F257" s="60" t="s">
        <v>67</v>
      </c>
      <c r="I257" s="80"/>
      <c r="J257" s="80"/>
    </row>
    <row r="258" spans="1:10" ht="13.5" thickBot="1" x14ac:dyDescent="0.25">
      <c r="A258" s="13" t="s">
        <v>111</v>
      </c>
      <c r="B258" s="14" t="s">
        <v>113</v>
      </c>
      <c r="C258" s="18">
        <f>C242</f>
        <v>3201.5422285714285</v>
      </c>
      <c r="D258" s="82">
        <v>0.55000000000000004</v>
      </c>
      <c r="E258" s="15">
        <f>C258*D258</f>
        <v>1760.8482257142857</v>
      </c>
      <c r="I258" s="80"/>
      <c r="J258" s="80"/>
    </row>
    <row r="259" spans="1:10" ht="13.5" thickBot="1" x14ac:dyDescent="0.25">
      <c r="F259" s="21">
        <f>E258</f>
        <v>1760.8482257142857</v>
      </c>
      <c r="I259" s="80"/>
      <c r="J259" s="80"/>
    </row>
    <row r="260" spans="1:10" ht="11.25" customHeight="1" x14ac:dyDescent="0.2">
      <c r="I260" s="80"/>
      <c r="J260" s="80"/>
    </row>
    <row r="261" spans="1:10" ht="13.5" thickBot="1" x14ac:dyDescent="0.25">
      <c r="A261" s="9" t="s">
        <v>62</v>
      </c>
      <c r="I261" s="80"/>
      <c r="J261" s="80"/>
    </row>
    <row r="262" spans="1:10" ht="13.5" thickBot="1" x14ac:dyDescent="0.25">
      <c r="A262" s="57" t="s">
        <v>64</v>
      </c>
      <c r="B262" s="58" t="s">
        <v>65</v>
      </c>
      <c r="C262" s="58" t="s">
        <v>42</v>
      </c>
      <c r="D262" s="59" t="s">
        <v>224</v>
      </c>
      <c r="E262" s="59" t="s">
        <v>66</v>
      </c>
      <c r="F262" s="60" t="s">
        <v>67</v>
      </c>
      <c r="I262" s="80"/>
      <c r="J262" s="80"/>
    </row>
    <row r="263" spans="1:10" x14ac:dyDescent="0.2">
      <c r="A263" s="278" t="s">
        <v>390</v>
      </c>
      <c r="B263" s="14" t="s">
        <v>10</v>
      </c>
      <c r="C263" s="90">
        <v>6</v>
      </c>
      <c r="D263" s="82">
        <v>2423</v>
      </c>
      <c r="E263" s="15">
        <f>C263*D263</f>
        <v>14538</v>
      </c>
      <c r="I263" s="80"/>
      <c r="J263" s="80"/>
    </row>
    <row r="264" spans="1:10" x14ac:dyDescent="0.2">
      <c r="A264" s="13" t="s">
        <v>114</v>
      </c>
      <c r="B264" s="14" t="s">
        <v>10</v>
      </c>
      <c r="C264" s="90">
        <v>2</v>
      </c>
      <c r="D264" s="99"/>
      <c r="E264" s="15"/>
      <c r="I264" s="80"/>
      <c r="J264" s="80"/>
    </row>
    <row r="265" spans="1:10" x14ac:dyDescent="0.2">
      <c r="A265" s="13" t="s">
        <v>71</v>
      </c>
      <c r="B265" s="14" t="s">
        <v>10</v>
      </c>
      <c r="C265" s="15">
        <f>C263*C264</f>
        <v>12</v>
      </c>
      <c r="D265" s="82">
        <v>600</v>
      </c>
      <c r="E265" s="15">
        <f>C265*D265</f>
        <v>7200</v>
      </c>
      <c r="I265" s="80"/>
      <c r="J265" s="80"/>
    </row>
    <row r="266" spans="1:10" x14ac:dyDescent="0.2">
      <c r="A266" s="16" t="s">
        <v>94</v>
      </c>
      <c r="B266" s="17" t="s">
        <v>26</v>
      </c>
      <c r="C266" s="92">
        <v>80000</v>
      </c>
      <c r="D266" s="18">
        <f>E263+E265</f>
        <v>21738</v>
      </c>
      <c r="E266" s="18">
        <f>IFERROR(D266/C266,"-")</f>
        <v>0.27172499999999999</v>
      </c>
      <c r="I266" s="80"/>
      <c r="J266" s="80"/>
    </row>
    <row r="267" spans="1:10" ht="13.5" thickBot="1" x14ac:dyDescent="0.25">
      <c r="A267" s="16" t="s">
        <v>57</v>
      </c>
      <c r="B267" s="17" t="s">
        <v>18</v>
      </c>
      <c r="C267" s="89">
        <f>B238</f>
        <v>3201.5422285714285</v>
      </c>
      <c r="D267" s="18">
        <f>E266</f>
        <v>0.27172499999999999</v>
      </c>
      <c r="E267" s="18">
        <f>IFERROR(C267*D267,0)</f>
        <v>869.93906205857138</v>
      </c>
      <c r="I267" s="80"/>
      <c r="J267" s="80"/>
    </row>
    <row r="268" spans="1:10" ht="13.5" thickBot="1" x14ac:dyDescent="0.25">
      <c r="F268" s="21">
        <f>E267</f>
        <v>869.93906205857138</v>
      </c>
      <c r="I268" s="80"/>
      <c r="J268" s="80"/>
    </row>
    <row r="269" spans="1:10" ht="11.25" customHeight="1" x14ac:dyDescent="0.2">
      <c r="I269" s="80"/>
      <c r="J269" s="80"/>
    </row>
    <row r="270" spans="1:10" ht="11.25" customHeight="1" thickBot="1" x14ac:dyDescent="0.25">
      <c r="G270" s="9"/>
    </row>
    <row r="271" spans="1:10" ht="13.5" thickBot="1" x14ac:dyDescent="0.25">
      <c r="A271" s="24" t="s">
        <v>217</v>
      </c>
      <c r="B271" s="25"/>
      <c r="C271" s="25"/>
      <c r="D271" s="26"/>
      <c r="E271" s="27"/>
      <c r="F271" s="21">
        <f>+SUM(F196:F270)</f>
        <v>18415.642388768072</v>
      </c>
      <c r="G271" s="9"/>
    </row>
    <row r="272" spans="1:10" ht="11.25" customHeight="1" x14ac:dyDescent="0.2">
      <c r="G272" s="9"/>
    </row>
    <row r="273" spans="1:7" x14ac:dyDescent="0.2">
      <c r="A273" s="11" t="s">
        <v>412</v>
      </c>
      <c r="B273" s="11"/>
      <c r="C273" s="11"/>
      <c r="D273" s="34"/>
      <c r="E273" s="34"/>
      <c r="F273" s="33"/>
      <c r="G273" s="9"/>
    </row>
    <row r="274" spans="1:7" ht="11.25" customHeight="1" thickBot="1" x14ac:dyDescent="0.25">
      <c r="G274" s="9"/>
    </row>
    <row r="275" spans="1:7" ht="13.5" thickBot="1" x14ac:dyDescent="0.25">
      <c r="A275" s="57" t="s">
        <v>64</v>
      </c>
      <c r="B275" s="58" t="s">
        <v>65</v>
      </c>
      <c r="C275" s="58" t="s">
        <v>42</v>
      </c>
      <c r="D275" s="59" t="s">
        <v>224</v>
      </c>
      <c r="E275" s="59" t="s">
        <v>66</v>
      </c>
      <c r="F275" s="60" t="s">
        <v>67</v>
      </c>
      <c r="G275" s="9"/>
    </row>
    <row r="276" spans="1:7" x14ac:dyDescent="0.2">
      <c r="A276" s="16" t="s">
        <v>72</v>
      </c>
      <c r="B276" s="17" t="s">
        <v>10</v>
      </c>
      <c r="C276" s="94">
        <v>0.16666666666666666</v>
      </c>
      <c r="D276" s="82">
        <v>39</v>
      </c>
      <c r="E276" s="18">
        <f t="shared" ref="E276:E278" si="8">C276*D276</f>
        <v>6.5</v>
      </c>
      <c r="F276" s="52"/>
      <c r="G276" s="9"/>
    </row>
    <row r="277" spans="1:7" x14ac:dyDescent="0.2">
      <c r="A277" s="16" t="s">
        <v>28</v>
      </c>
      <c r="B277" s="17" t="s">
        <v>10</v>
      </c>
      <c r="C277" s="94">
        <v>0.16666666666666666</v>
      </c>
      <c r="D277" s="82">
        <v>26.92</v>
      </c>
      <c r="E277" s="18">
        <f t="shared" si="8"/>
        <v>4.4866666666666664</v>
      </c>
      <c r="F277" s="52"/>
      <c r="G277" s="9"/>
    </row>
    <row r="278" spans="1:7" ht="13.5" thickBot="1" x14ac:dyDescent="0.25">
      <c r="A278" s="16" t="s">
        <v>29</v>
      </c>
      <c r="B278" s="17" t="s">
        <v>10</v>
      </c>
      <c r="C278" s="94">
        <v>0.16666666666666666</v>
      </c>
      <c r="D278" s="82">
        <v>26.19</v>
      </c>
      <c r="E278" s="18">
        <f t="shared" si="8"/>
        <v>4.3650000000000002</v>
      </c>
      <c r="F278" s="52"/>
      <c r="G278" s="9"/>
    </row>
    <row r="279" spans="1:7" ht="13.5" thickBot="1" x14ac:dyDescent="0.25">
      <c r="A279" s="11"/>
      <c r="B279" s="11"/>
      <c r="C279" s="11"/>
      <c r="D279" s="11"/>
      <c r="E279" s="34"/>
      <c r="F279" s="21">
        <f>SUM(E276:E278)</f>
        <v>15.351666666666667</v>
      </c>
      <c r="G279" s="9"/>
    </row>
    <row r="280" spans="1:7" ht="11.25" customHeight="1" thickBot="1" x14ac:dyDescent="0.25">
      <c r="G280" s="9"/>
    </row>
    <row r="281" spans="1:7" ht="13.5" thickBot="1" x14ac:dyDescent="0.25">
      <c r="A281" s="24" t="s">
        <v>218</v>
      </c>
      <c r="B281" s="25"/>
      <c r="C281" s="25"/>
      <c r="D281" s="26"/>
      <c r="E281" s="27"/>
      <c r="F281" s="21">
        <f>+F279</f>
        <v>15.351666666666667</v>
      </c>
      <c r="G281" s="9"/>
    </row>
    <row r="282" spans="1:7" ht="11.25" customHeight="1" x14ac:dyDescent="0.2">
      <c r="G282" s="9"/>
    </row>
    <row r="283" spans="1:7" ht="13.15" customHeight="1" x14ac:dyDescent="0.2">
      <c r="A283" s="11" t="s">
        <v>407</v>
      </c>
      <c r="B283" s="11"/>
      <c r="C283" s="11"/>
      <c r="D283" s="34"/>
      <c r="E283" s="34"/>
      <c r="F283" s="33"/>
      <c r="G283" s="9"/>
    </row>
    <row r="284" spans="1:7" ht="11.25" customHeight="1" thickBot="1" x14ac:dyDescent="0.25">
      <c r="G284" s="9"/>
    </row>
    <row r="285" spans="1:7" ht="13.9" customHeight="1" thickBot="1" x14ac:dyDescent="0.25">
      <c r="A285" s="57" t="s">
        <v>64</v>
      </c>
      <c r="B285" s="58" t="s">
        <v>65</v>
      </c>
      <c r="C285" s="58" t="s">
        <v>42</v>
      </c>
      <c r="D285" s="59" t="s">
        <v>224</v>
      </c>
      <c r="E285" s="59" t="s">
        <v>66</v>
      </c>
      <c r="F285" s="60" t="s">
        <v>67</v>
      </c>
      <c r="G285" s="9"/>
    </row>
    <row r="286" spans="1:7" ht="13.9" hidden="1" customHeight="1" x14ac:dyDescent="0.2">
      <c r="A286" s="299" t="s">
        <v>404</v>
      </c>
      <c r="B286" s="51" t="s">
        <v>10</v>
      </c>
      <c r="C286" s="66"/>
      <c r="D286" s="84">
        <v>500</v>
      </c>
      <c r="E286" s="18">
        <f>+D286*C286</f>
        <v>0</v>
      </c>
      <c r="F286" s="52"/>
      <c r="G286" s="9"/>
    </row>
    <row r="287" spans="1:7" ht="13.9" hidden="1" customHeight="1" x14ac:dyDescent="0.2">
      <c r="A287" s="299" t="s">
        <v>403</v>
      </c>
      <c r="B287" s="51" t="s">
        <v>10</v>
      </c>
      <c r="C287" s="17"/>
      <c r="D287" s="84">
        <v>150</v>
      </c>
      <c r="E287" s="18">
        <f t="shared" ref="E287:E292" si="9">+D287*C287</f>
        <v>0</v>
      </c>
      <c r="F287" s="52"/>
      <c r="G287" s="9"/>
    </row>
    <row r="288" spans="1:7" ht="13.9" hidden="1" customHeight="1" x14ac:dyDescent="0.2">
      <c r="A288" s="299" t="s">
        <v>405</v>
      </c>
      <c r="B288" s="17" t="s">
        <v>10</v>
      </c>
      <c r="C288" s="66"/>
      <c r="D288" s="84">
        <v>200</v>
      </c>
      <c r="E288" s="18">
        <f t="shared" si="9"/>
        <v>0</v>
      </c>
      <c r="F288" s="52"/>
      <c r="G288" s="9"/>
    </row>
    <row r="289" spans="1:7" ht="13.9" customHeight="1" x14ac:dyDescent="0.2">
      <c r="A289" s="299" t="s">
        <v>435</v>
      </c>
      <c r="B289" s="333" t="s">
        <v>10</v>
      </c>
      <c r="C289" s="342">
        <v>4</v>
      </c>
      <c r="D289" s="82">
        <v>120</v>
      </c>
      <c r="E289" s="18">
        <f t="shared" ref="E289:E291" si="10">C289*D289</f>
        <v>480</v>
      </c>
      <c r="F289" s="52"/>
      <c r="G289" s="9"/>
    </row>
    <row r="290" spans="1:7" ht="13.9" customHeight="1" thickBot="1" x14ac:dyDescent="0.25">
      <c r="A290" s="299" t="s">
        <v>370</v>
      </c>
      <c r="B290" s="333" t="s">
        <v>10</v>
      </c>
      <c r="C290" s="94">
        <v>8.3333333333333329E-2</v>
      </c>
      <c r="D290" s="82">
        <v>150</v>
      </c>
      <c r="E290" s="18">
        <f t="shared" si="10"/>
        <v>12.5</v>
      </c>
      <c r="F290" s="52"/>
      <c r="G290" s="9"/>
    </row>
    <row r="291" spans="1:7" ht="13.9" hidden="1" customHeight="1" x14ac:dyDescent="0.2">
      <c r="A291" s="299" t="s">
        <v>372</v>
      </c>
      <c r="B291" s="333" t="s">
        <v>371</v>
      </c>
      <c r="C291" s="301"/>
      <c r="D291" s="82"/>
      <c r="E291" s="18">
        <f t="shared" si="10"/>
        <v>0</v>
      </c>
      <c r="F291" s="52"/>
      <c r="G291" s="9"/>
    </row>
    <row r="292" spans="1:7" ht="13.9" hidden="1" customHeight="1" thickBot="1" x14ac:dyDescent="0.25">
      <c r="A292" s="299" t="s">
        <v>406</v>
      </c>
      <c r="B292" s="51" t="s">
        <v>348</v>
      </c>
      <c r="C292" s="17"/>
      <c r="D292" s="84">
        <v>0</v>
      </c>
      <c r="E292" s="18">
        <f t="shared" si="9"/>
        <v>0</v>
      </c>
      <c r="F292" s="52"/>
      <c r="G292" s="9"/>
    </row>
    <row r="293" spans="1:7" ht="13.9" customHeight="1" thickBot="1" x14ac:dyDescent="0.25">
      <c r="A293" s="12"/>
      <c r="B293" s="12"/>
      <c r="C293" s="12"/>
      <c r="D293" s="115" t="s">
        <v>185</v>
      </c>
      <c r="E293" s="287">
        <v>1</v>
      </c>
      <c r="F293" s="21">
        <f>SUM(E286:E292)</f>
        <v>492.5</v>
      </c>
      <c r="G293" s="9"/>
    </row>
    <row r="294" spans="1:7" ht="11.25" customHeight="1" x14ac:dyDescent="0.2">
      <c r="G294" s="9"/>
    </row>
    <row r="295" spans="1:7" x14ac:dyDescent="0.2">
      <c r="A295" s="11" t="s">
        <v>408</v>
      </c>
      <c r="B295" s="11"/>
      <c r="C295" s="11"/>
      <c r="D295" s="34"/>
      <c r="E295" s="34"/>
      <c r="F295" s="33"/>
    </row>
    <row r="296" spans="1:7" ht="11.25" customHeight="1" thickBot="1" x14ac:dyDescent="0.25"/>
    <row r="297" spans="1:7" ht="13.5" thickBot="1" x14ac:dyDescent="0.25">
      <c r="A297" s="57" t="s">
        <v>64</v>
      </c>
      <c r="B297" s="58" t="s">
        <v>65</v>
      </c>
      <c r="C297" s="58" t="s">
        <v>42</v>
      </c>
      <c r="D297" s="59" t="s">
        <v>224</v>
      </c>
      <c r="E297" s="59" t="s">
        <v>66</v>
      </c>
      <c r="F297" s="60" t="s">
        <v>67</v>
      </c>
    </row>
    <row r="298" spans="1:7" x14ac:dyDescent="0.2">
      <c r="A298" s="299" t="s">
        <v>215</v>
      </c>
      <c r="B298" s="51" t="s">
        <v>59</v>
      </c>
      <c r="C298" s="66">
        <v>2</v>
      </c>
      <c r="D298" s="84">
        <v>300</v>
      </c>
      <c r="E298" s="18">
        <f>+D298*C298</f>
        <v>600</v>
      </c>
      <c r="F298" s="52"/>
    </row>
    <row r="299" spans="1:7" x14ac:dyDescent="0.2">
      <c r="A299" s="16" t="s">
        <v>61</v>
      </c>
      <c r="B299" s="51" t="s">
        <v>8</v>
      </c>
      <c r="C299" s="17">
        <v>60</v>
      </c>
      <c r="D299" s="77">
        <f>SUM(E298:E298)</f>
        <v>600</v>
      </c>
      <c r="E299" s="77">
        <f>+D299/C299</f>
        <v>10</v>
      </c>
      <c r="F299" s="52"/>
    </row>
    <row r="300" spans="1:7" x14ac:dyDescent="0.2">
      <c r="A300" s="16" t="s">
        <v>216</v>
      </c>
      <c r="B300" s="17" t="s">
        <v>10</v>
      </c>
      <c r="C300" s="66">
        <f>+C298</f>
        <v>2</v>
      </c>
      <c r="D300" s="84">
        <v>110</v>
      </c>
      <c r="E300" s="18">
        <f>C300*D300</f>
        <v>220</v>
      </c>
      <c r="F300" s="52"/>
    </row>
    <row r="301" spans="1:7" ht="13.5" thickBot="1" x14ac:dyDescent="0.25">
      <c r="A301" s="16" t="s">
        <v>39</v>
      </c>
      <c r="B301" s="51" t="s">
        <v>8</v>
      </c>
      <c r="C301" s="17">
        <v>1</v>
      </c>
      <c r="D301" s="77">
        <f>+E300</f>
        <v>220</v>
      </c>
      <c r="E301" s="77">
        <f>+D301/C301</f>
        <v>220</v>
      </c>
      <c r="F301" s="52"/>
    </row>
    <row r="302" spans="1:7" ht="13.5" thickBot="1" x14ac:dyDescent="0.25">
      <c r="A302" s="12"/>
      <c r="B302" s="12"/>
      <c r="C302" s="12"/>
      <c r="D302" s="115" t="s">
        <v>185</v>
      </c>
      <c r="E302" s="287">
        <f>E234</f>
        <v>0.65910000000000002</v>
      </c>
      <c r="F302" s="21">
        <f>(E299+E301)*E302</f>
        <v>151.59300000000002</v>
      </c>
    </row>
    <row r="303" spans="1:7" s="50" customFormat="1" ht="11.25" customHeight="1" thickBot="1" x14ac:dyDescent="0.25">
      <c r="A303" s="9"/>
      <c r="B303" s="9"/>
      <c r="C303" s="9"/>
      <c r="D303" s="10"/>
      <c r="E303" s="10"/>
      <c r="F303" s="10"/>
      <c r="G303" s="79"/>
    </row>
    <row r="304" spans="1:7" ht="13.5" thickBot="1" x14ac:dyDescent="0.25">
      <c r="A304" s="24" t="s">
        <v>214</v>
      </c>
      <c r="B304" s="25"/>
      <c r="C304" s="25"/>
      <c r="D304" s="26"/>
      <c r="E304" s="27"/>
      <c r="F304" s="21">
        <f>+F302</f>
        <v>151.59300000000002</v>
      </c>
    </row>
    <row r="305" spans="1:7" ht="11.25" customHeight="1" thickBot="1" x14ac:dyDescent="0.25"/>
    <row r="306" spans="1:7" ht="17.25" customHeight="1" thickBot="1" x14ac:dyDescent="0.25">
      <c r="A306" s="24" t="s">
        <v>219</v>
      </c>
      <c r="B306" s="28"/>
      <c r="C306" s="28"/>
      <c r="D306" s="29"/>
      <c r="E306" s="30"/>
      <c r="F306" s="22">
        <f>+F154+F188+F271+F281+F304+F293</f>
        <v>44384.143570385226</v>
      </c>
    </row>
    <row r="307" spans="1:7" ht="11.25" customHeight="1" x14ac:dyDescent="0.2"/>
    <row r="308" spans="1:7" x14ac:dyDescent="0.2">
      <c r="A308" s="11" t="s">
        <v>409</v>
      </c>
    </row>
    <row r="309" spans="1:7" ht="11.25" customHeight="1" thickBot="1" x14ac:dyDescent="0.25"/>
    <row r="310" spans="1:7" ht="13.5" thickBot="1" x14ac:dyDescent="0.25">
      <c r="A310" s="57" t="s">
        <v>64</v>
      </c>
      <c r="B310" s="58" t="s">
        <v>65</v>
      </c>
      <c r="C310" s="58" t="s">
        <v>42</v>
      </c>
      <c r="D310" s="59" t="s">
        <v>224</v>
      </c>
      <c r="E310" s="59" t="s">
        <v>66</v>
      </c>
      <c r="F310" s="60" t="s">
        <v>67</v>
      </c>
    </row>
    <row r="311" spans="1:7" ht="13.5" thickBot="1" x14ac:dyDescent="0.25">
      <c r="A311" s="13" t="s">
        <v>38</v>
      </c>
      <c r="B311" s="14" t="s">
        <v>2</v>
      </c>
      <c r="C311" s="131">
        <f>'9.BDI'!C21*100</f>
        <v>21.55</v>
      </c>
      <c r="D311" s="15">
        <f>+F306</f>
        <v>44384.143570385226</v>
      </c>
      <c r="E311" s="15">
        <f>C311*D311/100</f>
        <v>9564.7829394180171</v>
      </c>
    </row>
    <row r="312" spans="1:7" ht="13.5" thickBot="1" x14ac:dyDescent="0.25">
      <c r="F312" s="21">
        <f>+E311</f>
        <v>9564.7829394180171</v>
      </c>
    </row>
    <row r="313" spans="1:7" ht="11.25" customHeight="1" thickBot="1" x14ac:dyDescent="0.25"/>
    <row r="314" spans="1:7" ht="13.5" thickBot="1" x14ac:dyDescent="0.25">
      <c r="A314" s="24" t="s">
        <v>229</v>
      </c>
      <c r="B314" s="28"/>
      <c r="C314" s="28"/>
      <c r="D314" s="29"/>
      <c r="E314" s="30"/>
      <c r="F314" s="22">
        <f>F312</f>
        <v>9564.7829394180171</v>
      </c>
    </row>
    <row r="315" spans="1:7" x14ac:dyDescent="0.2">
      <c r="A315" s="11"/>
      <c r="B315" s="11"/>
      <c r="C315" s="11"/>
      <c r="D315" s="34"/>
      <c r="E315" s="34"/>
      <c r="F315" s="33"/>
    </row>
    <row r="316" spans="1:7" ht="11.25" customHeight="1" thickBot="1" x14ac:dyDescent="0.25"/>
    <row r="317" spans="1:7" ht="24.75" customHeight="1" thickBot="1" x14ac:dyDescent="0.25">
      <c r="A317" s="24" t="s">
        <v>220</v>
      </c>
      <c r="B317" s="28"/>
      <c r="C317" s="28"/>
      <c r="D317" s="29"/>
      <c r="E317" s="30"/>
      <c r="F317" s="22">
        <f>F306+F314</f>
        <v>53948.926509803241</v>
      </c>
    </row>
    <row r="318" spans="1:7" ht="12.6" customHeight="1" x14ac:dyDescent="0.2">
      <c r="A318" s="53"/>
      <c r="B318" s="53"/>
      <c r="C318" s="53"/>
      <c r="D318" s="54"/>
      <c r="E318" s="54"/>
      <c r="F318" s="54"/>
    </row>
    <row r="319" spans="1:7" ht="14.25" hidden="1" x14ac:dyDescent="0.2">
      <c r="A319" s="8"/>
      <c r="B319" s="8"/>
      <c r="C319" s="8"/>
      <c r="D319" s="35"/>
      <c r="E319" s="35"/>
    </row>
    <row r="320" spans="1:7" ht="16.149999999999999" hidden="1" customHeight="1" x14ac:dyDescent="0.2">
      <c r="A320" s="230" t="s">
        <v>213</v>
      </c>
      <c r="B320" s="231"/>
      <c r="C320" s="231"/>
      <c r="D320" s="232"/>
      <c r="E320" s="233" t="s">
        <v>27</v>
      </c>
      <c r="G320" s="10" t="s">
        <v>194</v>
      </c>
    </row>
    <row r="321" spans="1:7" hidden="1" x14ac:dyDescent="0.2"/>
    <row r="322" spans="1:7" ht="25.5" hidden="1" customHeight="1" thickBot="1" x14ac:dyDescent="0.25">
      <c r="A322" s="24" t="s">
        <v>70</v>
      </c>
      <c r="B322" s="25"/>
      <c r="C322" s="25"/>
      <c r="D322" s="26"/>
      <c r="E322" s="234" t="s">
        <v>34</v>
      </c>
      <c r="F322" s="235" t="str">
        <f>IFERROR(F317/D320,"-")</f>
        <v>-</v>
      </c>
      <c r="G322" s="10" t="s">
        <v>194</v>
      </c>
    </row>
    <row r="323" spans="1:7" ht="12.6" hidden="1" customHeight="1" x14ac:dyDescent="0.2">
      <c r="A323" s="11"/>
      <c r="B323" s="11"/>
      <c r="C323" s="11"/>
      <c r="D323" s="34"/>
      <c r="E323" s="34"/>
      <c r="F323" s="34"/>
    </row>
    <row r="324" spans="1:7" s="4" customFormat="1" ht="9.75" hidden="1" customHeight="1" x14ac:dyDescent="0.2">
      <c r="A324" s="38"/>
      <c r="B324" s="10"/>
      <c r="C324" s="10"/>
      <c r="D324" s="10"/>
      <c r="E324" s="10"/>
      <c r="F324" s="10"/>
      <c r="G324" s="6"/>
    </row>
    <row r="325" spans="1:7" s="4" customFormat="1" ht="9.75" hidden="1" customHeight="1" x14ac:dyDescent="0.2">
      <c r="A325" s="38"/>
      <c r="B325" s="10"/>
      <c r="C325" s="10"/>
      <c r="D325" s="10"/>
      <c r="E325" s="10"/>
      <c r="F325" s="10"/>
      <c r="G325" s="6"/>
    </row>
    <row r="326" spans="1:7" s="4" customFormat="1" ht="9.75" hidden="1" customHeight="1" x14ac:dyDescent="0.2">
      <c r="A326" s="38"/>
      <c r="B326" s="10"/>
      <c r="C326" s="10"/>
      <c r="D326" s="10"/>
      <c r="E326" s="10"/>
      <c r="F326" s="10"/>
      <c r="G326" s="6"/>
    </row>
    <row r="327" spans="1:7" x14ac:dyDescent="0.2">
      <c r="F327" s="43"/>
    </row>
    <row r="328" spans="1:7" x14ac:dyDescent="0.2">
      <c r="F328" s="344"/>
    </row>
    <row r="356" s="9" customFormat="1" ht="9" customHeight="1" x14ac:dyDescent="0.2"/>
  </sheetData>
  <mergeCells count="7">
    <mergeCell ref="A50:D50"/>
    <mergeCell ref="A26:C26"/>
    <mergeCell ref="A12:F12"/>
    <mergeCell ref="A13:F13"/>
    <mergeCell ref="A43:D43"/>
    <mergeCell ref="A15:F15"/>
    <mergeCell ref="A42:E42"/>
  </mergeCells>
  <phoneticPr fontId="40" type="noConversion"/>
  <hyperlinks>
    <hyperlink ref="A211" location="AbaRemun" display="3.1.2. Remuneração do Capital"/>
    <hyperlink ref="A194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5" fitToHeight="4" orientation="portrait" verticalDpi="300" r:id="rId1"/>
  <headerFooter alignWithMargins="0">
    <oddFooter>&amp;R&amp;P de &amp;N</oddFooter>
  </headerFooter>
  <rowBreaks count="2" manualBreakCount="2">
    <brk id="126" max="5" man="1"/>
    <brk id="210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7" workbookViewId="0">
      <selection activeCell="A11" sqref="A11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114" bestFit="1" customWidth="1"/>
    <col min="6" max="6" width="9.7109375" bestFit="1" customWidth="1"/>
  </cols>
  <sheetData>
    <row r="1" spans="1:8" s="135" customFormat="1" ht="14.25" x14ac:dyDescent="0.2">
      <c r="A1" s="11" t="s">
        <v>192</v>
      </c>
      <c r="B1" s="8"/>
      <c r="C1" s="8"/>
      <c r="E1" s="136"/>
    </row>
    <row r="2" spans="1:8" s="135" customFormat="1" ht="14.25" x14ac:dyDescent="0.2">
      <c r="A2" s="130" t="s">
        <v>238</v>
      </c>
      <c r="B2" s="8"/>
      <c r="C2" s="8"/>
      <c r="E2" s="136"/>
    </row>
    <row r="3" spans="1:8" s="135" customFormat="1" ht="14.25" x14ac:dyDescent="0.2">
      <c r="A3" s="9" t="s">
        <v>193</v>
      </c>
      <c r="B3" s="8"/>
      <c r="C3" s="8"/>
      <c r="E3" s="136"/>
    </row>
    <row r="4" spans="1:8" s="135" customFormat="1" ht="14.25" x14ac:dyDescent="0.2">
      <c r="A4" s="9"/>
      <c r="B4" s="8"/>
      <c r="C4" s="8"/>
      <c r="E4" s="136"/>
    </row>
    <row r="5" spans="1:8" s="4" customFormat="1" ht="15.6" hidden="1" customHeight="1" x14ac:dyDescent="0.2">
      <c r="A5" s="276" t="s">
        <v>284</v>
      </c>
      <c r="B5" s="5"/>
      <c r="C5" s="5"/>
      <c r="D5" s="5"/>
      <c r="E5" s="5"/>
      <c r="F5" s="5"/>
      <c r="G5" s="6"/>
    </row>
    <row r="6" spans="1:8" s="4" customFormat="1" ht="16.5" customHeight="1" x14ac:dyDescent="0.2">
      <c r="A6" s="304" t="s">
        <v>302</v>
      </c>
      <c r="B6" s="5"/>
      <c r="C6" s="5"/>
      <c r="D6" s="6"/>
      <c r="E6" s="6"/>
      <c r="F6" s="6"/>
      <c r="G6" s="6"/>
    </row>
    <row r="7" spans="1:8" s="4" customFormat="1" ht="16.5" customHeight="1" x14ac:dyDescent="0.2">
      <c r="A7" s="304" t="s">
        <v>303</v>
      </c>
      <c r="B7" s="5"/>
      <c r="C7" s="5"/>
      <c r="D7" s="6"/>
      <c r="E7" s="6"/>
      <c r="F7" s="6"/>
      <c r="G7" s="6"/>
    </row>
    <row r="8" spans="1:8" s="135" customFormat="1" ht="15" thickBot="1" x14ac:dyDescent="0.25">
      <c r="B8" s="8"/>
      <c r="C8" s="8"/>
      <c r="E8" s="136"/>
    </row>
    <row r="9" spans="1:8" ht="15.75" x14ac:dyDescent="0.2">
      <c r="A9" s="706" t="s">
        <v>386</v>
      </c>
      <c r="B9" s="707"/>
      <c r="C9" s="707"/>
      <c r="D9" s="707"/>
      <c r="E9" s="707"/>
      <c r="F9" s="708"/>
    </row>
    <row r="10" spans="1:8" ht="16.5" thickBot="1" x14ac:dyDescent="0.25">
      <c r="A10" s="241"/>
      <c r="B10" s="242"/>
      <c r="C10" s="242"/>
      <c r="D10" s="242"/>
      <c r="E10" s="242"/>
      <c r="F10" s="243"/>
    </row>
    <row r="11" spans="1:8" ht="15" x14ac:dyDescent="0.25">
      <c r="A11" s="192"/>
      <c r="B11" s="8"/>
      <c r="C11" s="8"/>
      <c r="D11" s="703" t="s">
        <v>235</v>
      </c>
      <c r="E11" s="704"/>
      <c r="F11" s="705"/>
      <c r="G11" s="135"/>
      <c r="H11" s="135"/>
    </row>
    <row r="12" spans="1:8" ht="15" thickBot="1" x14ac:dyDescent="0.25">
      <c r="A12" s="189"/>
      <c r="B12" s="135"/>
      <c r="C12" s="135"/>
      <c r="D12" s="193" t="s">
        <v>180</v>
      </c>
      <c r="E12" s="194" t="s">
        <v>181</v>
      </c>
      <c r="F12" s="195" t="s">
        <v>182</v>
      </c>
      <c r="G12" s="135"/>
      <c r="H12" s="135"/>
    </row>
    <row r="13" spans="1:8" ht="14.25" x14ac:dyDescent="0.2">
      <c r="A13" s="196" t="s">
        <v>75</v>
      </c>
      <c r="B13" s="197" t="s">
        <v>76</v>
      </c>
      <c r="C13" s="198">
        <v>0.04</v>
      </c>
      <c r="D13" s="219">
        <v>2.9700000000000001E-2</v>
      </c>
      <c r="E13" s="220">
        <v>5.0799999999999998E-2</v>
      </c>
      <c r="F13" s="221">
        <v>6.2700000000000006E-2</v>
      </c>
      <c r="G13" s="135"/>
      <c r="H13" s="135"/>
    </row>
    <row r="14" spans="1:8" ht="14.25" x14ac:dyDescent="0.2">
      <c r="A14" s="200" t="s">
        <v>77</v>
      </c>
      <c r="B14" s="201" t="s">
        <v>78</v>
      </c>
      <c r="C14" s="202">
        <v>8.6E-3</v>
      </c>
      <c r="D14" s="219">
        <f>0.3%+0.56%</f>
        <v>8.6E-3</v>
      </c>
      <c r="E14" s="220">
        <f>0.48%+0.85%</f>
        <v>1.3299999999999999E-2</v>
      </c>
      <c r="F14" s="221">
        <f>0.82%+0.89%</f>
        <v>1.7099999999999997E-2</v>
      </c>
      <c r="G14" s="135"/>
      <c r="H14" s="135"/>
    </row>
    <row r="15" spans="1:8" ht="14.25" x14ac:dyDescent="0.2">
      <c r="A15" s="200" t="s">
        <v>79</v>
      </c>
      <c r="B15" s="201" t="s">
        <v>80</v>
      </c>
      <c r="C15" s="202">
        <v>0.08</v>
      </c>
      <c r="D15" s="219">
        <v>7.7799999999999994E-2</v>
      </c>
      <c r="E15" s="220">
        <v>0.1085</v>
      </c>
      <c r="F15" s="221">
        <v>0.13550000000000001</v>
      </c>
      <c r="G15" s="135"/>
      <c r="H15" s="135"/>
    </row>
    <row r="16" spans="1:8" ht="14.25" x14ac:dyDescent="0.2">
      <c r="A16" s="200" t="s">
        <v>81</v>
      </c>
      <c r="B16" s="201" t="s">
        <v>82</v>
      </c>
      <c r="C16" s="203">
        <f>(1+E16)^(E17/252)-1</f>
        <v>1.8928642061037948E-3</v>
      </c>
      <c r="D16" s="219" t="s">
        <v>272</v>
      </c>
      <c r="E16" s="204">
        <v>0.1</v>
      </c>
      <c r="F16" s="199"/>
      <c r="G16" s="135"/>
      <c r="H16" s="135"/>
    </row>
    <row r="17" spans="1:8" ht="14.25" x14ac:dyDescent="0.2">
      <c r="A17" s="200" t="s">
        <v>83</v>
      </c>
      <c r="B17" s="701" t="s">
        <v>84</v>
      </c>
      <c r="C17" s="202">
        <v>0.03</v>
      </c>
      <c r="D17" s="274" t="s">
        <v>183</v>
      </c>
      <c r="E17" s="205">
        <v>5</v>
      </c>
      <c r="F17" s="206"/>
      <c r="G17" s="135"/>
      <c r="H17" s="135"/>
    </row>
    <row r="18" spans="1:8" ht="15" thickBot="1" x14ac:dyDescent="0.25">
      <c r="A18" s="207" t="s">
        <v>352</v>
      </c>
      <c r="B18" s="702"/>
      <c r="C18" s="208">
        <v>3.6499999999999998E-2</v>
      </c>
      <c r="D18" s="183"/>
      <c r="E18" s="209"/>
      <c r="F18" s="206"/>
      <c r="G18" s="135"/>
      <c r="H18" s="135"/>
    </row>
    <row r="19" spans="1:8" ht="14.25" x14ac:dyDescent="0.2">
      <c r="A19" s="210" t="s">
        <v>85</v>
      </c>
      <c r="B19" s="211"/>
      <c r="C19" s="212"/>
      <c r="D19" s="183"/>
      <c r="E19" s="209"/>
      <c r="F19" s="206"/>
      <c r="G19" s="135"/>
      <c r="H19" s="135"/>
    </row>
    <row r="20" spans="1:8" ht="15" thickBot="1" x14ac:dyDescent="0.25">
      <c r="A20" s="213" t="s">
        <v>86</v>
      </c>
      <c r="B20" s="214"/>
      <c r="C20" s="215"/>
      <c r="D20" s="183"/>
      <c r="E20" s="209"/>
      <c r="F20" s="206"/>
      <c r="G20" s="135"/>
      <c r="H20" s="135"/>
    </row>
    <row r="21" spans="1:8" ht="15.75" thickBot="1" x14ac:dyDescent="0.25">
      <c r="A21" s="216" t="s">
        <v>87</v>
      </c>
      <c r="B21" s="217"/>
      <c r="C21" s="218">
        <f>ROUND((((1+C13+C14)*(1+C15)*(1+C16))/(1-(C17+C18))-1),4)</f>
        <v>0.2155</v>
      </c>
      <c r="D21" s="222">
        <v>0.21429999999999999</v>
      </c>
      <c r="E21" s="223">
        <v>0.2717</v>
      </c>
      <c r="F21" s="224">
        <v>0.3362</v>
      </c>
      <c r="G21" s="135"/>
      <c r="H21" s="135"/>
    </row>
    <row r="22" spans="1:8" ht="14.25" x14ac:dyDescent="0.2">
      <c r="A22" s="135"/>
      <c r="B22" s="135"/>
      <c r="C22" s="135"/>
      <c r="D22" s="135"/>
      <c r="E22" s="136"/>
      <c r="F22" s="135"/>
      <c r="G22" s="135"/>
      <c r="H22" s="135"/>
    </row>
    <row r="23" spans="1:8" ht="14.25" x14ac:dyDescent="0.2">
      <c r="A23" s="135"/>
      <c r="B23" s="135"/>
      <c r="C23" s="135"/>
      <c r="D23" s="135"/>
      <c r="E23" s="136"/>
      <c r="F23" s="135"/>
      <c r="G23" s="135"/>
      <c r="H23" s="135"/>
    </row>
    <row r="24" spans="1:8" ht="14.25" x14ac:dyDescent="0.2">
      <c r="A24" s="135"/>
      <c r="B24" s="135"/>
      <c r="C24" s="135"/>
      <c r="D24" s="135"/>
      <c r="E24" s="136"/>
      <c r="F24" s="135"/>
      <c r="G24" s="135"/>
      <c r="H24" s="135"/>
    </row>
    <row r="25" spans="1:8" ht="14.25" x14ac:dyDescent="0.2">
      <c r="A25" s="135"/>
      <c r="B25" s="135"/>
      <c r="C25" s="135"/>
      <c r="D25" s="135"/>
      <c r="E25" s="136"/>
      <c r="F25" s="135"/>
      <c r="G25" s="135"/>
      <c r="H25" s="135"/>
    </row>
  </sheetData>
  <mergeCells count="3">
    <mergeCell ref="B17:B18"/>
    <mergeCell ref="D11:F11"/>
    <mergeCell ref="A9:F9"/>
  </mergeCells>
  <pageMargins left="0.90551181102362199" right="0.51181102362204722" top="0.74803149606299213" bottom="0.74803149606299213" header="0.31496062992125984" footer="0.31496062992125984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A11" sqref="A11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114" bestFit="1" customWidth="1"/>
    <col min="6" max="6" width="9.7109375" bestFit="1" customWidth="1"/>
  </cols>
  <sheetData>
    <row r="1" spans="1:8" s="135" customFormat="1" ht="14.25" x14ac:dyDescent="0.2">
      <c r="A1" s="11" t="s">
        <v>192</v>
      </c>
      <c r="B1" s="8"/>
      <c r="C1" s="8"/>
      <c r="E1" s="136"/>
    </row>
    <row r="2" spans="1:8" s="135" customFormat="1" ht="14.25" x14ac:dyDescent="0.2">
      <c r="A2" s="130" t="s">
        <v>238</v>
      </c>
      <c r="B2" s="8"/>
      <c r="C2" s="8"/>
      <c r="E2" s="136"/>
    </row>
    <row r="3" spans="1:8" s="135" customFormat="1" ht="14.25" x14ac:dyDescent="0.2">
      <c r="A3" s="9" t="s">
        <v>193</v>
      </c>
      <c r="B3" s="8"/>
      <c r="C3" s="8"/>
      <c r="E3" s="136"/>
    </row>
    <row r="4" spans="1:8" s="135" customFormat="1" ht="14.25" x14ac:dyDescent="0.2">
      <c r="A4" s="9"/>
      <c r="B4" s="8"/>
      <c r="C4" s="8"/>
      <c r="E4" s="136"/>
    </row>
    <row r="5" spans="1:8" s="4" customFormat="1" ht="15.6" hidden="1" customHeight="1" x14ac:dyDescent="0.2">
      <c r="A5" s="276" t="s">
        <v>284</v>
      </c>
      <c r="B5" s="5"/>
      <c r="C5" s="5"/>
      <c r="D5" s="5"/>
      <c r="E5" s="5"/>
      <c r="F5" s="5"/>
      <c r="G5" s="6"/>
    </row>
    <row r="6" spans="1:8" s="4" customFormat="1" ht="16.5" customHeight="1" x14ac:dyDescent="0.2">
      <c r="A6" s="304" t="s">
        <v>302</v>
      </c>
      <c r="B6" s="5"/>
      <c r="C6" s="5"/>
      <c r="D6" s="6"/>
      <c r="E6" s="6"/>
      <c r="F6" s="6"/>
      <c r="G6" s="6"/>
    </row>
    <row r="7" spans="1:8" s="4" customFormat="1" ht="16.5" customHeight="1" x14ac:dyDescent="0.2">
      <c r="A7" s="304" t="s">
        <v>303</v>
      </c>
      <c r="B7" s="5"/>
      <c r="C7" s="5"/>
      <c r="D7" s="6"/>
      <c r="E7" s="6"/>
      <c r="F7" s="6"/>
      <c r="G7" s="6"/>
    </row>
    <row r="8" spans="1:8" s="135" customFormat="1" ht="15" thickBot="1" x14ac:dyDescent="0.25">
      <c r="B8" s="8"/>
      <c r="C8" s="8"/>
      <c r="E8" s="136"/>
    </row>
    <row r="9" spans="1:8" ht="15.75" x14ac:dyDescent="0.2">
      <c r="A9" s="706" t="s">
        <v>386</v>
      </c>
      <c r="B9" s="707"/>
      <c r="C9" s="707"/>
      <c r="D9" s="707"/>
      <c r="E9" s="707"/>
      <c r="F9" s="708"/>
    </row>
    <row r="10" spans="1:8" ht="16.5" thickBot="1" x14ac:dyDescent="0.25">
      <c r="A10" s="241"/>
      <c r="B10" s="242"/>
      <c r="C10" s="242"/>
      <c r="D10" s="242"/>
      <c r="E10" s="242"/>
      <c r="F10" s="243"/>
    </row>
    <row r="11" spans="1:8" ht="15" x14ac:dyDescent="0.25">
      <c r="A11" s="192"/>
      <c r="B11" s="8"/>
      <c r="C11" s="8"/>
      <c r="D11" s="703" t="s">
        <v>235</v>
      </c>
      <c r="E11" s="704"/>
      <c r="F11" s="705"/>
      <c r="G11" s="135"/>
      <c r="H11" s="135"/>
    </row>
    <row r="12" spans="1:8" ht="15" thickBot="1" x14ac:dyDescent="0.25">
      <c r="A12" s="189"/>
      <c r="B12" s="135"/>
      <c r="C12" s="135"/>
      <c r="D12" s="193" t="s">
        <v>180</v>
      </c>
      <c r="E12" s="194" t="s">
        <v>181</v>
      </c>
      <c r="F12" s="195" t="s">
        <v>182</v>
      </c>
      <c r="G12" s="135"/>
      <c r="H12" s="135"/>
    </row>
    <row r="13" spans="1:8" ht="14.25" x14ac:dyDescent="0.2">
      <c r="A13" s="196" t="s">
        <v>75</v>
      </c>
      <c r="B13" s="197" t="s">
        <v>76</v>
      </c>
      <c r="C13" s="198">
        <v>0.02</v>
      </c>
      <c r="D13" s="219">
        <v>2.9700000000000001E-2</v>
      </c>
      <c r="E13" s="220">
        <v>5.0799999999999998E-2</v>
      </c>
      <c r="F13" s="221">
        <v>6.2700000000000006E-2</v>
      </c>
      <c r="G13" s="135"/>
      <c r="H13" s="135"/>
    </row>
    <row r="14" spans="1:8" ht="14.25" x14ac:dyDescent="0.2">
      <c r="A14" s="200" t="s">
        <v>77</v>
      </c>
      <c r="B14" s="201" t="s">
        <v>78</v>
      </c>
      <c r="C14" s="202">
        <v>8.6E-3</v>
      </c>
      <c r="D14" s="219">
        <f>0.3%+0.56%</f>
        <v>8.6E-3</v>
      </c>
      <c r="E14" s="220">
        <f>0.48%+0.85%</f>
        <v>1.3299999999999999E-2</v>
      </c>
      <c r="F14" s="221">
        <f>0.82%+0.89%</f>
        <v>1.7099999999999997E-2</v>
      </c>
      <c r="G14" s="135"/>
      <c r="H14" s="135"/>
    </row>
    <row r="15" spans="1:8" ht="14.25" x14ac:dyDescent="0.2">
      <c r="A15" s="200" t="s">
        <v>79</v>
      </c>
      <c r="B15" s="201" t="s">
        <v>80</v>
      </c>
      <c r="C15" s="202">
        <v>0.04</v>
      </c>
      <c r="D15" s="219">
        <v>7.7799999999999994E-2</v>
      </c>
      <c r="E15" s="220">
        <v>0.1085</v>
      </c>
      <c r="F15" s="221">
        <v>0.13550000000000001</v>
      </c>
      <c r="G15" s="135"/>
      <c r="H15" s="135"/>
    </row>
    <row r="16" spans="1:8" ht="14.25" x14ac:dyDescent="0.2">
      <c r="A16" s="200" t="s">
        <v>81</v>
      </c>
      <c r="B16" s="201" t="s">
        <v>82</v>
      </c>
      <c r="C16" s="203">
        <f>(1+E16)^(E17/252)-1</f>
        <v>1.8928642061037948E-3</v>
      </c>
      <c r="D16" s="219" t="s">
        <v>272</v>
      </c>
      <c r="E16" s="204">
        <v>0.1</v>
      </c>
      <c r="F16" s="199"/>
      <c r="G16" s="135"/>
      <c r="H16" s="135"/>
    </row>
    <row r="17" spans="1:8" ht="14.25" x14ac:dyDescent="0.2">
      <c r="A17" s="200" t="s">
        <v>83</v>
      </c>
      <c r="B17" s="701" t="s">
        <v>84</v>
      </c>
      <c r="C17" s="202">
        <v>0</v>
      </c>
      <c r="D17" s="274" t="s">
        <v>183</v>
      </c>
      <c r="E17" s="205">
        <v>5</v>
      </c>
      <c r="F17" s="206"/>
      <c r="G17" s="135"/>
      <c r="H17" s="135"/>
    </row>
    <row r="18" spans="1:8" ht="15" thickBot="1" x14ac:dyDescent="0.25">
      <c r="A18" s="207" t="s">
        <v>352</v>
      </c>
      <c r="B18" s="702"/>
      <c r="C18" s="208">
        <v>3.6499999999999998E-2</v>
      </c>
      <c r="D18" s="183"/>
      <c r="E18" s="209"/>
      <c r="F18" s="206"/>
      <c r="G18" s="135"/>
      <c r="H18" s="135"/>
    </row>
    <row r="19" spans="1:8" ht="14.25" x14ac:dyDescent="0.2">
      <c r="A19" s="210" t="s">
        <v>85</v>
      </c>
      <c r="B19" s="211"/>
      <c r="C19" s="212"/>
      <c r="D19" s="183"/>
      <c r="E19" s="209"/>
      <c r="F19" s="206"/>
      <c r="G19" s="135"/>
      <c r="H19" s="135"/>
    </row>
    <row r="20" spans="1:8" ht="15" thickBot="1" x14ac:dyDescent="0.25">
      <c r="A20" s="213" t="s">
        <v>86</v>
      </c>
      <c r="B20" s="214"/>
      <c r="C20" s="215"/>
      <c r="D20" s="183"/>
      <c r="E20" s="209"/>
      <c r="F20" s="206"/>
      <c r="G20" s="135"/>
      <c r="H20" s="135"/>
    </row>
    <row r="21" spans="1:8" ht="15.75" thickBot="1" x14ac:dyDescent="0.25">
      <c r="A21" s="216" t="s">
        <v>87</v>
      </c>
      <c r="B21" s="217"/>
      <c r="C21" s="218">
        <f>ROUND((((1+C13+C14)*(1+C15)*(1+C16))/(1-(C17+C18))-1),4)</f>
        <v>0.1124</v>
      </c>
      <c r="D21" s="222">
        <v>0.21429999999999999</v>
      </c>
      <c r="E21" s="223">
        <v>0.2717</v>
      </c>
      <c r="F21" s="224">
        <v>0.3362</v>
      </c>
      <c r="G21" s="135"/>
      <c r="H21" s="135"/>
    </row>
    <row r="22" spans="1:8" ht="14.25" x14ac:dyDescent="0.2">
      <c r="A22" s="135"/>
      <c r="B22" s="135"/>
      <c r="C22" s="135"/>
      <c r="D22" s="135"/>
      <c r="E22" s="136"/>
      <c r="F22" s="135"/>
      <c r="G22" s="135"/>
      <c r="H22" s="135"/>
    </row>
    <row r="23" spans="1:8" ht="14.25" x14ac:dyDescent="0.2">
      <c r="A23" s="135"/>
      <c r="B23" s="135"/>
      <c r="C23" s="135"/>
      <c r="D23" s="135"/>
      <c r="E23" s="136"/>
      <c r="F23" s="135"/>
      <c r="G23" s="135"/>
      <c r="H23" s="135"/>
    </row>
    <row r="24" spans="1:8" ht="14.25" x14ac:dyDescent="0.2">
      <c r="A24" s="135"/>
      <c r="B24" s="135"/>
      <c r="C24" s="135"/>
      <c r="D24" s="135"/>
      <c r="E24" s="136"/>
      <c r="F24" s="135"/>
      <c r="G24" s="135"/>
      <c r="H24" s="135"/>
    </row>
    <row r="25" spans="1:8" ht="14.25" x14ac:dyDescent="0.2">
      <c r="A25" s="135"/>
      <c r="B25" s="135"/>
      <c r="C25" s="135"/>
      <c r="D25" s="135"/>
      <c r="E25" s="136"/>
      <c r="F25" s="135"/>
      <c r="G25" s="135"/>
      <c r="H25" s="135"/>
    </row>
  </sheetData>
  <mergeCells count="3">
    <mergeCell ref="A9:F9"/>
    <mergeCell ref="D11:F11"/>
    <mergeCell ref="B17:B18"/>
  </mergeCells>
  <pageMargins left="0.90551181102362199" right="0.51181102362204722" top="0.74803149606299213" bottom="0.74803149606299213" header="0.31496062992125984" footer="0.31496062992125984"/>
  <pageSetup paperSize="9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11" sqref="A11"/>
    </sheetView>
  </sheetViews>
  <sheetFormatPr defaultColWidth="8.85546875" defaultRowHeight="15" x14ac:dyDescent="0.25"/>
  <cols>
    <col min="1" max="1" width="18.28515625" style="580" customWidth="1"/>
    <col min="2" max="2" width="14.7109375" style="580" customWidth="1"/>
    <col min="3" max="3" width="15.42578125" style="580" customWidth="1"/>
    <col min="4" max="4" width="8.85546875" style="580"/>
    <col min="5" max="6" width="11.42578125" style="580" hidden="1" customWidth="1"/>
    <col min="7" max="7" width="11.42578125" style="580" bestFit="1" customWidth="1"/>
    <col min="8" max="8" width="8.85546875" style="580"/>
    <col min="9" max="10" width="11.28515625" style="580" bestFit="1" customWidth="1"/>
    <col min="11" max="16384" width="8.85546875" style="580"/>
  </cols>
  <sheetData>
    <row r="1" spans="1:10" ht="15.75" x14ac:dyDescent="0.25">
      <c r="A1" s="579" t="s">
        <v>505</v>
      </c>
    </row>
    <row r="2" spans="1:10" ht="15.75" x14ac:dyDescent="0.25">
      <c r="A2" s="579" t="s">
        <v>550</v>
      </c>
    </row>
    <row r="3" spans="1:10" ht="15.75" x14ac:dyDescent="0.25">
      <c r="A3" s="579" t="s">
        <v>551</v>
      </c>
    </row>
    <row r="4" spans="1:10" x14ac:dyDescent="0.25">
      <c r="A4" s="581"/>
    </row>
    <row r="5" spans="1:10" x14ac:dyDescent="0.25">
      <c r="A5" s="709" t="s">
        <v>552</v>
      </c>
      <c r="B5" s="710"/>
      <c r="C5" s="711"/>
      <c r="E5" s="582" t="s">
        <v>428</v>
      </c>
      <c r="F5" s="582" t="s">
        <v>428</v>
      </c>
    </row>
    <row r="6" spans="1:10" x14ac:dyDescent="0.25">
      <c r="A6" s="583" t="s">
        <v>306</v>
      </c>
      <c r="B6" s="583" t="s">
        <v>553</v>
      </c>
      <c r="C6" s="583" t="s">
        <v>554</v>
      </c>
      <c r="E6" s="582">
        <v>108.51</v>
      </c>
      <c r="F6" s="582"/>
    </row>
    <row r="7" spans="1:10" x14ac:dyDescent="0.25">
      <c r="A7" s="584">
        <v>1</v>
      </c>
      <c r="B7" s="585">
        <v>44166</v>
      </c>
      <c r="C7" s="586">
        <v>499</v>
      </c>
      <c r="E7" s="582"/>
      <c r="F7" s="582"/>
    </row>
    <row r="8" spans="1:10" x14ac:dyDescent="0.25">
      <c r="A8" s="584">
        <v>2</v>
      </c>
      <c r="B8" s="587">
        <v>44197</v>
      </c>
      <c r="C8" s="586">
        <v>498</v>
      </c>
      <c r="E8" s="582"/>
      <c r="F8" s="582"/>
    </row>
    <row r="9" spans="1:10" x14ac:dyDescent="0.25">
      <c r="A9" s="584">
        <v>3</v>
      </c>
      <c r="B9" s="587">
        <v>44228</v>
      </c>
      <c r="C9" s="588">
        <v>432</v>
      </c>
      <c r="E9" s="589">
        <v>167002.32</v>
      </c>
      <c r="F9" s="589">
        <v>149423.01999999999</v>
      </c>
      <c r="G9" s="590"/>
    </row>
    <row r="10" spans="1:10" x14ac:dyDescent="0.25">
      <c r="A10" s="584">
        <v>4</v>
      </c>
      <c r="B10" s="587">
        <v>44256</v>
      </c>
      <c r="C10" s="586">
        <v>458</v>
      </c>
      <c r="E10" s="589">
        <v>161699.19</v>
      </c>
      <c r="F10" s="589">
        <v>162196.92000000001</v>
      </c>
      <c r="G10" s="590"/>
    </row>
    <row r="11" spans="1:10" x14ac:dyDescent="0.25">
      <c r="A11" s="584">
        <v>5</v>
      </c>
      <c r="B11" s="587">
        <v>44287</v>
      </c>
      <c r="C11" s="586">
        <v>433</v>
      </c>
      <c r="E11" s="589">
        <v>208994.6</v>
      </c>
      <c r="F11" s="589">
        <v>184293.52</v>
      </c>
      <c r="G11" s="590"/>
    </row>
    <row r="12" spans="1:10" x14ac:dyDescent="0.25">
      <c r="A12" s="584">
        <v>6</v>
      </c>
      <c r="B12" s="587">
        <v>44317</v>
      </c>
      <c r="C12" s="586">
        <v>468</v>
      </c>
      <c r="E12" s="589">
        <v>206941.59</v>
      </c>
      <c r="F12" s="589">
        <v>188710.15</v>
      </c>
      <c r="G12" s="590"/>
    </row>
    <row r="13" spans="1:10" x14ac:dyDescent="0.25">
      <c r="A13" s="584">
        <v>7</v>
      </c>
      <c r="B13" s="587">
        <v>44348</v>
      </c>
      <c r="C13" s="586">
        <v>461</v>
      </c>
      <c r="E13" s="589">
        <v>196574.55</v>
      </c>
      <c r="F13" s="589">
        <v>173346.67</v>
      </c>
      <c r="G13" s="590"/>
    </row>
    <row r="14" spans="1:10" x14ac:dyDescent="0.25">
      <c r="A14" s="584">
        <v>8</v>
      </c>
      <c r="B14" s="587">
        <v>44378</v>
      </c>
      <c r="C14" s="586">
        <v>463</v>
      </c>
      <c r="E14" s="589">
        <v>205827.19</v>
      </c>
      <c r="F14" s="589">
        <v>185553.22</v>
      </c>
      <c r="G14" s="590"/>
    </row>
    <row r="15" spans="1:10" x14ac:dyDescent="0.25">
      <c r="A15" s="584">
        <v>9</v>
      </c>
      <c r="B15" s="587">
        <v>44409</v>
      </c>
      <c r="C15" s="586">
        <v>481</v>
      </c>
      <c r="E15" s="589">
        <v>207811.84</v>
      </c>
      <c r="F15" s="589">
        <v>191612.26</v>
      </c>
      <c r="G15" s="590"/>
      <c r="I15" s="591"/>
      <c r="J15" s="591"/>
    </row>
    <row r="16" spans="1:10" x14ac:dyDescent="0.25">
      <c r="A16" s="584">
        <v>10</v>
      </c>
      <c r="B16" s="587">
        <v>44440</v>
      </c>
      <c r="C16" s="586">
        <v>452</v>
      </c>
      <c r="E16" s="589">
        <v>195773.74</v>
      </c>
      <c r="F16" s="589">
        <v>179339.36</v>
      </c>
      <c r="G16" s="590"/>
    </row>
    <row r="17" spans="1:7" x14ac:dyDescent="0.25">
      <c r="A17" s="584">
        <v>11</v>
      </c>
      <c r="B17" s="587">
        <v>44470</v>
      </c>
      <c r="C17" s="586">
        <v>432</v>
      </c>
      <c r="E17" s="589">
        <v>225578</v>
      </c>
      <c r="F17" s="589"/>
      <c r="G17" s="590"/>
    </row>
    <row r="18" spans="1:7" x14ac:dyDescent="0.25">
      <c r="A18" s="584">
        <v>12</v>
      </c>
      <c r="B18" s="587">
        <v>44501</v>
      </c>
      <c r="C18" s="586">
        <v>460</v>
      </c>
      <c r="E18" s="589">
        <v>180218</v>
      </c>
      <c r="F18" s="589">
        <v>182712</v>
      </c>
      <c r="G18" s="590"/>
    </row>
    <row r="19" spans="1:7" x14ac:dyDescent="0.25">
      <c r="A19" s="584"/>
      <c r="B19" s="584"/>
      <c r="C19" s="584"/>
    </row>
    <row r="20" spans="1:7" x14ac:dyDescent="0.25">
      <c r="A20" s="709" t="s">
        <v>555</v>
      </c>
      <c r="B20" s="711"/>
      <c r="C20" s="592">
        <f>SUM(C7:C19)</f>
        <v>5537</v>
      </c>
    </row>
    <row r="21" spans="1:7" x14ac:dyDescent="0.25">
      <c r="A21" s="593" t="s">
        <v>556</v>
      </c>
      <c r="B21" s="582"/>
      <c r="C21" s="594">
        <v>12</v>
      </c>
    </row>
    <row r="22" spans="1:7" x14ac:dyDescent="0.25">
      <c r="A22" s="593" t="s">
        <v>557</v>
      </c>
      <c r="B22" s="582"/>
      <c r="C22" s="595">
        <f>C20/C21</f>
        <v>461.41666666666669</v>
      </c>
    </row>
    <row r="24" spans="1:7" x14ac:dyDescent="0.25">
      <c r="A24" s="712" t="s">
        <v>598</v>
      </c>
      <c r="B24" s="713"/>
      <c r="C24" s="599">
        <f>C22*0.2</f>
        <v>92.283333333333346</v>
      </c>
      <c r="D24" s="598"/>
      <c r="E24" s="596"/>
    </row>
    <row r="25" spans="1:7" x14ac:dyDescent="0.25">
      <c r="A25" s="712" t="s">
        <v>478</v>
      </c>
      <c r="B25" s="713"/>
      <c r="C25" s="599">
        <f>C22-C24</f>
        <v>369.13333333333333</v>
      </c>
      <c r="D25" s="598"/>
      <c r="E25" s="591"/>
    </row>
    <row r="27" spans="1:7" x14ac:dyDescent="0.25">
      <c r="E27" s="597"/>
    </row>
    <row r="28" spans="1:7" x14ac:dyDescent="0.25">
      <c r="C28" s="591"/>
    </row>
  </sheetData>
  <mergeCells count="4">
    <mergeCell ref="A5:C5"/>
    <mergeCell ref="A20:B20"/>
    <mergeCell ref="A24:B24"/>
    <mergeCell ref="A25:B25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0"/>
  <sheetViews>
    <sheetView topLeftCell="A13" workbookViewId="0">
      <selection activeCell="A11" sqref="A11"/>
    </sheetView>
  </sheetViews>
  <sheetFormatPr defaultColWidth="8.85546875" defaultRowHeight="15" x14ac:dyDescent="0.25"/>
  <cols>
    <col min="1" max="1" width="12.28515625" style="289" customWidth="1"/>
    <col min="2" max="2" width="10" style="289" customWidth="1"/>
    <col min="3" max="3" width="16.42578125" style="289" customWidth="1"/>
    <col min="4" max="4" width="7.140625" style="289" customWidth="1"/>
    <col min="5" max="5" width="9.140625" style="289" bestFit="1" customWidth="1"/>
    <col min="6" max="6" width="6.140625" style="289" customWidth="1"/>
    <col min="7" max="7" width="8" style="289" bestFit="1" customWidth="1"/>
    <col min="8" max="8" width="7" style="289" customWidth="1"/>
    <col min="9" max="9" width="7.28515625" style="289" customWidth="1"/>
    <col min="10" max="10" width="8.85546875" style="289" customWidth="1"/>
    <col min="11" max="15" width="0" style="289" hidden="1" customWidth="1"/>
    <col min="16" max="16384" width="8.85546875" style="289"/>
  </cols>
  <sheetData>
    <row r="1" spans="1:19" ht="18" x14ac:dyDescent="0.25">
      <c r="A1" s="138" t="s">
        <v>504</v>
      </c>
    </row>
    <row r="2" spans="1:19" x14ac:dyDescent="0.25">
      <c r="A2" s="288" t="s">
        <v>418</v>
      </c>
    </row>
    <row r="3" spans="1:19" ht="15.75" thickBot="1" x14ac:dyDescent="0.3">
      <c r="A3" s="288" t="s">
        <v>549</v>
      </c>
    </row>
    <row r="4" spans="1:19" ht="30.75" thickBot="1" x14ac:dyDescent="0.3">
      <c r="A4" s="476" t="s">
        <v>380</v>
      </c>
      <c r="B4" s="474" t="s">
        <v>401</v>
      </c>
      <c r="C4" s="474" t="s">
        <v>309</v>
      </c>
      <c r="D4" s="477" t="s">
        <v>307</v>
      </c>
      <c r="E4" s="474" t="s">
        <v>308</v>
      </c>
      <c r="F4" s="477" t="s">
        <v>594</v>
      </c>
      <c r="G4" s="474" t="s">
        <v>310</v>
      </c>
      <c r="H4" s="475" t="s">
        <v>398</v>
      </c>
      <c r="I4" s="475" t="s">
        <v>431</v>
      </c>
      <c r="J4" s="403"/>
      <c r="K4" s="403"/>
    </row>
    <row r="5" spans="1:19" x14ac:dyDescent="0.25">
      <c r="A5" s="714" t="s">
        <v>543</v>
      </c>
      <c r="B5" s="716" t="s">
        <v>400</v>
      </c>
      <c r="C5" s="720" t="s">
        <v>512</v>
      </c>
      <c r="D5" s="404">
        <v>6</v>
      </c>
      <c r="E5" s="414" t="s">
        <v>417</v>
      </c>
      <c r="F5" s="412">
        <v>0.29166666666666669</v>
      </c>
      <c r="G5" s="412">
        <v>0.60416666666666663</v>
      </c>
      <c r="H5" s="412">
        <v>0.27083333333333331</v>
      </c>
      <c r="I5" s="405">
        <f>D5*6.5*2</f>
        <v>78</v>
      </c>
      <c r="J5" s="403"/>
      <c r="K5" s="408" t="e">
        <f>I5+#REF!+#REF!+#REF!+#REF!</f>
        <v>#REF!</v>
      </c>
      <c r="O5" s="352" t="e">
        <f>I6+#REF!+#REF!+#REF!+#REF!</f>
        <v>#REF!</v>
      </c>
      <c r="P5" s="573"/>
      <c r="Q5" s="573"/>
      <c r="R5" s="352"/>
    </row>
    <row r="6" spans="1:19" ht="15.75" thickBot="1" x14ac:dyDescent="0.3">
      <c r="A6" s="715"/>
      <c r="B6" s="717"/>
      <c r="C6" s="719"/>
      <c r="D6" s="406">
        <v>2</v>
      </c>
      <c r="E6" s="415" t="s">
        <v>46</v>
      </c>
      <c r="F6" s="413">
        <v>0.29166666666666669</v>
      </c>
      <c r="G6" s="413">
        <v>0.64583333333333337</v>
      </c>
      <c r="H6" s="413">
        <v>0.3125</v>
      </c>
      <c r="I6" s="407">
        <f>D6*7.5*2</f>
        <v>30</v>
      </c>
      <c r="J6" s="403"/>
      <c r="K6" s="403">
        <v>6</v>
      </c>
      <c r="O6" s="289">
        <v>2</v>
      </c>
      <c r="P6" s="573"/>
      <c r="Q6" s="573"/>
      <c r="R6" s="352"/>
    </row>
    <row r="7" spans="1:19" x14ac:dyDescent="0.25">
      <c r="A7" s="714" t="s">
        <v>542</v>
      </c>
      <c r="B7" s="716" t="s">
        <v>400</v>
      </c>
      <c r="C7" s="720" t="s">
        <v>615</v>
      </c>
      <c r="D7" s="404">
        <v>6</v>
      </c>
      <c r="E7" s="414" t="s">
        <v>417</v>
      </c>
      <c r="F7" s="412">
        <v>0.29166666666666669</v>
      </c>
      <c r="G7" s="412">
        <v>0.60416666666666663</v>
      </c>
      <c r="H7" s="412">
        <v>0.27083333333333331</v>
      </c>
      <c r="I7" s="405">
        <f>D7*6.5*2</f>
        <v>78</v>
      </c>
      <c r="J7" s="403"/>
      <c r="K7" s="403"/>
    </row>
    <row r="8" spans="1:19" ht="15.75" thickBot="1" x14ac:dyDescent="0.3">
      <c r="A8" s="715"/>
      <c r="B8" s="717"/>
      <c r="C8" s="719"/>
      <c r="D8" s="406">
        <v>2</v>
      </c>
      <c r="E8" s="415" t="s">
        <v>46</v>
      </c>
      <c r="F8" s="413">
        <v>0.29166666666666669</v>
      </c>
      <c r="G8" s="413">
        <v>0.64583333333333337</v>
      </c>
      <c r="H8" s="413">
        <v>0.3125</v>
      </c>
      <c r="I8" s="407">
        <f>D8*7.5*2</f>
        <v>30</v>
      </c>
      <c r="J8" s="403"/>
      <c r="K8" s="403"/>
    </row>
    <row r="9" spans="1:19" x14ac:dyDescent="0.25">
      <c r="A9" s="721" t="s">
        <v>606</v>
      </c>
      <c r="B9" s="723" t="s">
        <v>610</v>
      </c>
      <c r="C9" s="723" t="s">
        <v>611</v>
      </c>
      <c r="D9" s="404">
        <v>3</v>
      </c>
      <c r="E9" s="414" t="s">
        <v>417</v>
      </c>
      <c r="F9" s="412">
        <v>0.77083333333333337</v>
      </c>
      <c r="G9" s="412">
        <v>0.89583333333333337</v>
      </c>
      <c r="H9" s="412">
        <v>0.125</v>
      </c>
      <c r="I9" s="405">
        <f>D9*3*4</f>
        <v>36</v>
      </c>
      <c r="J9" s="403"/>
      <c r="K9" s="403"/>
    </row>
    <row r="10" spans="1:19" ht="15.75" thickBot="1" x14ac:dyDescent="0.3">
      <c r="A10" s="722"/>
      <c r="B10" s="724"/>
      <c r="C10" s="719"/>
      <c r="D10" s="406">
        <v>1</v>
      </c>
      <c r="E10" s="415" t="s">
        <v>46</v>
      </c>
      <c r="F10" s="413">
        <v>0.77083333333333337</v>
      </c>
      <c r="G10" s="413">
        <v>0.91666666666666663</v>
      </c>
      <c r="H10" s="413">
        <v>0.14583333333333334</v>
      </c>
      <c r="I10" s="407">
        <f>D10*3.5*4</f>
        <v>14</v>
      </c>
      <c r="J10" s="403"/>
      <c r="K10" s="403"/>
    </row>
    <row r="11" spans="1:19" x14ac:dyDescent="0.25">
      <c r="A11" s="714" t="s">
        <v>543</v>
      </c>
      <c r="B11" s="716" t="s">
        <v>402</v>
      </c>
      <c r="C11" s="718" t="s">
        <v>541</v>
      </c>
      <c r="D11" s="404">
        <v>6</v>
      </c>
      <c r="E11" s="414" t="s">
        <v>417</v>
      </c>
      <c r="F11" s="412">
        <v>0.29166666666666669</v>
      </c>
      <c r="G11" s="412">
        <v>0.60416666666666663</v>
      </c>
      <c r="H11" s="412">
        <v>0.27083333333333331</v>
      </c>
      <c r="I11" s="405">
        <f>D11*6.5*1</f>
        <v>39</v>
      </c>
      <c r="J11" s="403"/>
      <c r="K11" s="408" t="e">
        <f>I11+#REF!+#REF!+#REF!+#REF!</f>
        <v>#REF!</v>
      </c>
      <c r="L11" s="293">
        <v>15</v>
      </c>
      <c r="M11" s="293">
        <v>12</v>
      </c>
      <c r="N11" s="293">
        <v>6</v>
      </c>
      <c r="O11" s="352" t="e">
        <f>I12+#REF!+#REF!+#REF!+#REF!</f>
        <v>#REF!</v>
      </c>
      <c r="S11" s="352"/>
    </row>
    <row r="12" spans="1:19" ht="15.75" thickBot="1" x14ac:dyDescent="0.3">
      <c r="A12" s="715"/>
      <c r="B12" s="717"/>
      <c r="C12" s="719"/>
      <c r="D12" s="406">
        <v>2</v>
      </c>
      <c r="E12" s="415" t="s">
        <v>46</v>
      </c>
      <c r="F12" s="413">
        <v>0.29166666666666669</v>
      </c>
      <c r="G12" s="413">
        <v>0.64583333333333337</v>
      </c>
      <c r="H12" s="413">
        <v>0.3125</v>
      </c>
      <c r="I12" s="407">
        <f>D12*7.5*1</f>
        <v>15</v>
      </c>
      <c r="J12" s="403"/>
      <c r="K12" s="403" t="e">
        <f>K11/3</f>
        <v>#REF!</v>
      </c>
      <c r="L12" s="293">
        <v>45</v>
      </c>
      <c r="M12" s="293">
        <v>30</v>
      </c>
      <c r="N12" s="293">
        <v>10</v>
      </c>
      <c r="O12" s="289">
        <v>1</v>
      </c>
      <c r="P12" s="354"/>
      <c r="Q12" s="644"/>
      <c r="R12" s="354"/>
      <c r="S12" s="352"/>
    </row>
    <row r="13" spans="1:19" x14ac:dyDescent="0.25">
      <c r="A13" s="714" t="s">
        <v>542</v>
      </c>
      <c r="B13" s="716" t="s">
        <v>402</v>
      </c>
      <c r="C13" s="718" t="s">
        <v>526</v>
      </c>
      <c r="D13" s="404">
        <v>6</v>
      </c>
      <c r="E13" s="414" t="s">
        <v>417</v>
      </c>
      <c r="F13" s="412">
        <v>0.29166666666666669</v>
      </c>
      <c r="G13" s="412">
        <v>0.60416666666666663</v>
      </c>
      <c r="H13" s="412">
        <v>0.27083333333333331</v>
      </c>
      <c r="I13" s="405">
        <f>D13*6.5*1</f>
        <v>39</v>
      </c>
      <c r="L13" s="293"/>
      <c r="M13" s="293"/>
      <c r="N13" s="293"/>
    </row>
    <row r="14" spans="1:19" ht="15.75" thickBot="1" x14ac:dyDescent="0.3">
      <c r="A14" s="715"/>
      <c r="B14" s="717"/>
      <c r="C14" s="719"/>
      <c r="D14" s="406">
        <v>2</v>
      </c>
      <c r="E14" s="415" t="s">
        <v>46</v>
      </c>
      <c r="F14" s="413">
        <v>0.29166666666666669</v>
      </c>
      <c r="G14" s="413">
        <v>0.64583333333333337</v>
      </c>
      <c r="H14" s="413">
        <v>0.3125</v>
      </c>
      <c r="I14" s="407">
        <f>D14*7.5*1</f>
        <v>15</v>
      </c>
    </row>
    <row r="15" spans="1:19" x14ac:dyDescent="0.25">
      <c r="A15" s="714" t="s">
        <v>606</v>
      </c>
      <c r="B15" s="723" t="s">
        <v>402</v>
      </c>
      <c r="C15" s="723" t="s">
        <v>612</v>
      </c>
      <c r="D15" s="404">
        <v>3</v>
      </c>
      <c r="E15" s="414" t="s">
        <v>417</v>
      </c>
      <c r="F15" s="412">
        <v>0.77083333333333337</v>
      </c>
      <c r="G15" s="412">
        <v>0.89583333333333337</v>
      </c>
      <c r="H15" s="412">
        <v>0.125</v>
      </c>
      <c r="I15" s="405">
        <f>D15*3*2</f>
        <v>18</v>
      </c>
    </row>
    <row r="16" spans="1:19" ht="15.75" thickBot="1" x14ac:dyDescent="0.3">
      <c r="A16" s="725"/>
      <c r="B16" s="724"/>
      <c r="C16" s="719"/>
      <c r="D16" s="406">
        <v>1</v>
      </c>
      <c r="E16" s="415" t="s">
        <v>46</v>
      </c>
      <c r="F16" s="413">
        <v>0.77083333333333337</v>
      </c>
      <c r="G16" s="413">
        <v>0.91666666666666663</v>
      </c>
      <c r="H16" s="413">
        <v>0.14583333333333334</v>
      </c>
      <c r="I16" s="407">
        <f>D16*3.5*2</f>
        <v>7</v>
      </c>
    </row>
    <row r="17" spans="1:11" hidden="1" x14ac:dyDescent="0.25">
      <c r="A17" s="714"/>
      <c r="B17" s="726"/>
      <c r="C17" s="727"/>
      <c r="D17" s="404"/>
      <c r="E17" s="414"/>
      <c r="F17" s="412"/>
      <c r="G17" s="412"/>
      <c r="H17" s="412"/>
      <c r="I17" s="405"/>
    </row>
    <row r="18" spans="1:11" ht="15.75" hidden="1" thickBot="1" x14ac:dyDescent="0.3">
      <c r="A18" s="725"/>
      <c r="B18" s="724"/>
      <c r="C18" s="724"/>
      <c r="D18" s="406"/>
      <c r="E18" s="415"/>
      <c r="F18" s="413"/>
      <c r="G18" s="413"/>
      <c r="H18" s="413"/>
      <c r="I18" s="407"/>
    </row>
    <row r="19" spans="1:11" ht="42.6" customHeight="1" thickBot="1" x14ac:dyDescent="0.3">
      <c r="A19" s="575" t="s">
        <v>545</v>
      </c>
      <c r="B19" s="572" t="s">
        <v>544</v>
      </c>
      <c r="C19" s="630" t="s">
        <v>596</v>
      </c>
      <c r="D19" s="568">
        <v>1</v>
      </c>
      <c r="E19" s="569" t="s">
        <v>46</v>
      </c>
      <c r="F19" s="570">
        <v>0.29166666666666669</v>
      </c>
      <c r="G19" s="570">
        <v>0.5625</v>
      </c>
      <c r="H19" s="570">
        <v>0.22916666666666666</v>
      </c>
      <c r="I19" s="571">
        <f>D19*5.5*2.5</f>
        <v>13.75</v>
      </c>
      <c r="J19" s="403"/>
      <c r="K19" s="403"/>
    </row>
    <row r="20" spans="1:11" x14ac:dyDescent="0.25">
      <c r="A20" s="478"/>
      <c r="B20" s="479"/>
      <c r="C20" s="479"/>
      <c r="D20" s="480"/>
      <c r="E20" s="481"/>
      <c r="F20" s="482"/>
      <c r="G20" s="482"/>
      <c r="H20" s="482"/>
      <c r="I20" s="483"/>
    </row>
    <row r="21" spans="1:11" x14ac:dyDescent="0.25">
      <c r="A21" s="478"/>
      <c r="B21" s="479"/>
      <c r="C21" s="479"/>
      <c r="D21" s="480"/>
      <c r="E21" s="481"/>
      <c r="F21" s="482"/>
      <c r="G21" s="482"/>
      <c r="H21" s="482"/>
      <c r="I21" s="483"/>
    </row>
    <row r="22" spans="1:11" x14ac:dyDescent="0.25">
      <c r="A22" s="288" t="s">
        <v>432</v>
      </c>
    </row>
    <row r="23" spans="1:11" x14ac:dyDescent="0.25">
      <c r="A23" s="291" t="s">
        <v>311</v>
      </c>
      <c r="B23" s="292"/>
      <c r="C23" s="292"/>
      <c r="D23" s="292"/>
      <c r="E23" s="292"/>
      <c r="F23" s="292"/>
      <c r="G23" s="293">
        <v>8</v>
      </c>
    </row>
    <row r="24" spans="1:11" x14ac:dyDescent="0.25">
      <c r="A24" s="291" t="s">
        <v>312</v>
      </c>
      <c r="B24" s="292"/>
      <c r="C24" s="292"/>
      <c r="D24" s="292"/>
      <c r="E24" s="292"/>
      <c r="F24" s="292"/>
      <c r="G24" s="293">
        <v>4</v>
      </c>
    </row>
    <row r="25" spans="1:11" x14ac:dyDescent="0.25">
      <c r="A25" s="291" t="s">
        <v>313</v>
      </c>
      <c r="B25" s="292"/>
      <c r="C25" s="292"/>
      <c r="D25" s="292"/>
      <c r="E25" s="292"/>
      <c r="F25" s="292"/>
      <c r="G25" s="293">
        <f>G23*G24</f>
        <v>32</v>
      </c>
    </row>
    <row r="26" spans="1:11" x14ac:dyDescent="0.25">
      <c r="A26" s="291" t="s">
        <v>314</v>
      </c>
      <c r="B26" s="292"/>
      <c r="C26" s="292"/>
      <c r="D26" s="292"/>
      <c r="E26" s="292"/>
      <c r="F26" s="292"/>
      <c r="G26" s="293">
        <v>6</v>
      </c>
    </row>
    <row r="27" spans="1:11" x14ac:dyDescent="0.25">
      <c r="A27" s="291" t="s">
        <v>315</v>
      </c>
      <c r="B27" s="292"/>
      <c r="C27" s="292"/>
      <c r="D27" s="292"/>
      <c r="E27" s="292"/>
      <c r="F27" s="292"/>
      <c r="G27" s="293">
        <v>7</v>
      </c>
    </row>
    <row r="28" spans="1:11" x14ac:dyDescent="0.25">
      <c r="A28" s="291" t="s">
        <v>316</v>
      </c>
      <c r="B28" s="292"/>
      <c r="C28" s="292"/>
      <c r="D28" s="292"/>
      <c r="E28" s="292"/>
      <c r="F28" s="292"/>
      <c r="G28" s="300">
        <f>G25/G26</f>
        <v>5.333333333333333</v>
      </c>
    </row>
    <row r="29" spans="1:11" x14ac:dyDescent="0.25">
      <c r="A29" s="291" t="s">
        <v>317</v>
      </c>
      <c r="B29" s="292"/>
      <c r="C29" s="292"/>
      <c r="D29" s="292"/>
      <c r="E29" s="292"/>
      <c r="F29" s="292"/>
      <c r="G29" s="293">
        <v>30</v>
      </c>
    </row>
    <row r="30" spans="1:11" x14ac:dyDescent="0.25">
      <c r="A30" s="294" t="s">
        <v>318</v>
      </c>
      <c r="B30" s="295"/>
      <c r="C30" s="295"/>
      <c r="D30" s="295"/>
      <c r="E30" s="295"/>
      <c r="F30" s="295"/>
      <c r="G30" s="290">
        <f>G28*G29</f>
        <v>160</v>
      </c>
    </row>
    <row r="31" spans="1:11" x14ac:dyDescent="0.25">
      <c r="A31" s="294" t="s">
        <v>320</v>
      </c>
      <c r="B31" s="295"/>
      <c r="C31" s="295"/>
      <c r="D31" s="295"/>
      <c r="E31" s="295"/>
      <c r="F31" s="295"/>
      <c r="G31" s="290">
        <v>220</v>
      </c>
    </row>
    <row r="32" spans="1:11" x14ac:dyDescent="0.25">
      <c r="A32" s="294" t="s">
        <v>321</v>
      </c>
      <c r="B32" s="295"/>
      <c r="C32" s="295"/>
      <c r="D32" s="295"/>
      <c r="E32" s="295"/>
      <c r="F32" s="295"/>
      <c r="G32" s="296">
        <f>G30/G31</f>
        <v>0.72727272727272729</v>
      </c>
    </row>
    <row r="34" spans="1:7" x14ac:dyDescent="0.25">
      <c r="A34" s="288" t="s">
        <v>351</v>
      </c>
    </row>
    <row r="35" spans="1:7" x14ac:dyDescent="0.25">
      <c r="A35" s="291" t="s">
        <v>319</v>
      </c>
      <c r="B35" s="292"/>
      <c r="C35" s="292"/>
      <c r="D35" s="292"/>
      <c r="E35" s="292"/>
      <c r="F35" s="292"/>
      <c r="G35" s="293">
        <v>9.25</v>
      </c>
    </row>
    <row r="36" spans="1:7" x14ac:dyDescent="0.25">
      <c r="A36" s="291" t="s">
        <v>312</v>
      </c>
      <c r="B36" s="292"/>
      <c r="C36" s="292"/>
      <c r="D36" s="292"/>
      <c r="E36" s="292"/>
      <c r="F36" s="292"/>
      <c r="G36" s="293">
        <v>4</v>
      </c>
    </row>
    <row r="37" spans="1:7" x14ac:dyDescent="0.25">
      <c r="A37" s="291" t="s">
        <v>313</v>
      </c>
      <c r="B37" s="292"/>
      <c r="C37" s="292"/>
      <c r="D37" s="292"/>
      <c r="E37" s="292"/>
      <c r="F37" s="292"/>
      <c r="G37" s="351">
        <f>G35*G36</f>
        <v>37</v>
      </c>
    </row>
    <row r="38" spans="1:7" x14ac:dyDescent="0.25">
      <c r="A38" s="291" t="s">
        <v>314</v>
      </c>
      <c r="B38" s="292"/>
      <c r="C38" s="292"/>
      <c r="D38" s="292"/>
      <c r="E38" s="292"/>
      <c r="F38" s="292"/>
      <c r="G38" s="293">
        <v>6</v>
      </c>
    </row>
    <row r="39" spans="1:7" x14ac:dyDescent="0.25">
      <c r="A39" s="291" t="s">
        <v>315</v>
      </c>
      <c r="B39" s="292"/>
      <c r="C39" s="292"/>
      <c r="D39" s="292"/>
      <c r="E39" s="292"/>
      <c r="F39" s="292"/>
      <c r="G39" s="293">
        <v>7</v>
      </c>
    </row>
    <row r="40" spans="1:7" x14ac:dyDescent="0.25">
      <c r="A40" s="291" t="s">
        <v>316</v>
      </c>
      <c r="B40" s="292"/>
      <c r="C40" s="292"/>
      <c r="D40" s="292"/>
      <c r="E40" s="292"/>
      <c r="F40" s="292"/>
      <c r="G40" s="300">
        <f>G37/G38</f>
        <v>6.166666666666667</v>
      </c>
    </row>
    <row r="41" spans="1:7" x14ac:dyDescent="0.25">
      <c r="A41" s="291" t="s">
        <v>317</v>
      </c>
      <c r="B41" s="292"/>
      <c r="C41" s="292"/>
      <c r="D41" s="292"/>
      <c r="E41" s="292"/>
      <c r="F41" s="292"/>
      <c r="G41" s="293">
        <v>30</v>
      </c>
    </row>
    <row r="42" spans="1:7" x14ac:dyDescent="0.25">
      <c r="A42" s="294" t="s">
        <v>318</v>
      </c>
      <c r="B42" s="295"/>
      <c r="C42" s="295"/>
      <c r="D42" s="295"/>
      <c r="E42" s="295"/>
      <c r="F42" s="295"/>
      <c r="G42" s="302">
        <f>G40*G41</f>
        <v>185</v>
      </c>
    </row>
    <row r="43" spans="1:7" x14ac:dyDescent="0.25">
      <c r="A43" s="294" t="s">
        <v>320</v>
      </c>
      <c r="B43" s="295"/>
      <c r="C43" s="295"/>
      <c r="D43" s="295"/>
      <c r="E43" s="295"/>
      <c r="F43" s="295"/>
      <c r="G43" s="290">
        <v>220</v>
      </c>
    </row>
    <row r="44" spans="1:7" x14ac:dyDescent="0.25">
      <c r="A44" s="294" t="s">
        <v>321</v>
      </c>
      <c r="B44" s="295"/>
      <c r="C44" s="295"/>
      <c r="D44" s="295"/>
      <c r="E44" s="295"/>
      <c r="F44" s="295"/>
      <c r="G44" s="296">
        <f>G42/G43</f>
        <v>0.84090909090909094</v>
      </c>
    </row>
    <row r="46" spans="1:7" x14ac:dyDescent="0.25">
      <c r="A46" s="288" t="s">
        <v>474</v>
      </c>
    </row>
    <row r="47" spans="1:7" x14ac:dyDescent="0.25">
      <c r="A47" s="291" t="s">
        <v>311</v>
      </c>
      <c r="B47" s="292"/>
      <c r="C47" s="292"/>
      <c r="D47" s="292"/>
      <c r="E47" s="292"/>
      <c r="F47" s="292"/>
      <c r="G47" s="293">
        <v>8</v>
      </c>
    </row>
    <row r="48" spans="1:7" x14ac:dyDescent="0.25">
      <c r="A48" s="291" t="s">
        <v>312</v>
      </c>
      <c r="B48" s="292"/>
      <c r="C48" s="292"/>
      <c r="D48" s="292"/>
      <c r="E48" s="292"/>
      <c r="F48" s="292"/>
      <c r="G48" s="293">
        <v>2</v>
      </c>
    </row>
    <row r="49" spans="1:9" x14ac:dyDescent="0.25">
      <c r="A49" s="291" t="s">
        <v>313</v>
      </c>
      <c r="B49" s="292"/>
      <c r="C49" s="292"/>
      <c r="D49" s="292"/>
      <c r="E49" s="292"/>
      <c r="F49" s="292"/>
      <c r="G49" s="293">
        <f>G47*G48</f>
        <v>16</v>
      </c>
      <c r="I49" s="331"/>
    </row>
    <row r="50" spans="1:9" x14ac:dyDescent="0.25">
      <c r="A50" s="291" t="s">
        <v>314</v>
      </c>
      <c r="B50" s="292"/>
      <c r="C50" s="292"/>
      <c r="D50" s="292"/>
      <c r="E50" s="292"/>
      <c r="F50" s="292"/>
      <c r="G50" s="293">
        <v>6</v>
      </c>
    </row>
    <row r="51" spans="1:9" x14ac:dyDescent="0.25">
      <c r="A51" s="291" t="s">
        <v>315</v>
      </c>
      <c r="B51" s="292"/>
      <c r="C51" s="292"/>
      <c r="D51" s="292"/>
      <c r="E51" s="292"/>
      <c r="F51" s="292"/>
      <c r="G51" s="293">
        <v>7</v>
      </c>
    </row>
    <row r="52" spans="1:9" x14ac:dyDescent="0.25">
      <c r="A52" s="291" t="s">
        <v>316</v>
      </c>
      <c r="B52" s="292"/>
      <c r="C52" s="292"/>
      <c r="D52" s="292"/>
      <c r="E52" s="292"/>
      <c r="F52" s="292"/>
      <c r="G52" s="300">
        <f>G49/G50</f>
        <v>2.6666666666666665</v>
      </c>
    </row>
    <row r="53" spans="1:9" x14ac:dyDescent="0.25">
      <c r="A53" s="291" t="s">
        <v>317</v>
      </c>
      <c r="B53" s="292"/>
      <c r="C53" s="292"/>
      <c r="D53" s="292"/>
      <c r="E53" s="292"/>
      <c r="F53" s="292"/>
      <c r="G53" s="293">
        <v>30</v>
      </c>
    </row>
    <row r="54" spans="1:9" x14ac:dyDescent="0.25">
      <c r="A54" s="294" t="s">
        <v>318</v>
      </c>
      <c r="B54" s="295"/>
      <c r="C54" s="295"/>
      <c r="D54" s="295"/>
      <c r="E54" s="295"/>
      <c r="F54" s="295"/>
      <c r="G54" s="409">
        <f>G52*G53</f>
        <v>80</v>
      </c>
    </row>
    <row r="55" spans="1:9" x14ac:dyDescent="0.25">
      <c r="A55" s="294" t="s">
        <v>320</v>
      </c>
      <c r="B55" s="295"/>
      <c r="C55" s="295"/>
      <c r="D55" s="295"/>
      <c r="E55" s="295"/>
      <c r="F55" s="295"/>
      <c r="G55" s="290">
        <v>220</v>
      </c>
    </row>
    <row r="56" spans="1:9" x14ac:dyDescent="0.25">
      <c r="A56" s="294" t="s">
        <v>321</v>
      </c>
      <c r="B56" s="295"/>
      <c r="C56" s="295"/>
      <c r="D56" s="295"/>
      <c r="E56" s="295"/>
      <c r="F56" s="295"/>
      <c r="G56" s="296">
        <f>G54/G55</f>
        <v>0.36363636363636365</v>
      </c>
    </row>
    <row r="57" spans="1:9" x14ac:dyDescent="0.25">
      <c r="A57" s="288"/>
      <c r="B57" s="288"/>
      <c r="C57" s="288"/>
      <c r="D57" s="288"/>
      <c r="E57" s="288"/>
      <c r="F57" s="288"/>
      <c r="G57" s="353"/>
    </row>
    <row r="58" spans="1:9" x14ac:dyDescent="0.25">
      <c r="A58" s="288" t="s">
        <v>475</v>
      </c>
    </row>
    <row r="59" spans="1:9" x14ac:dyDescent="0.25">
      <c r="A59" s="410" t="s">
        <v>433</v>
      </c>
      <c r="B59" s="292"/>
      <c r="C59" s="292"/>
      <c r="D59" s="292"/>
      <c r="E59" s="292"/>
      <c r="F59" s="292"/>
      <c r="G59" s="293">
        <v>9.25</v>
      </c>
    </row>
    <row r="60" spans="1:9" x14ac:dyDescent="0.25">
      <c r="A60" s="291" t="s">
        <v>312</v>
      </c>
      <c r="B60" s="292"/>
      <c r="C60" s="292"/>
      <c r="D60" s="292"/>
      <c r="E60" s="292"/>
      <c r="F60" s="292"/>
      <c r="G60" s="293">
        <v>2</v>
      </c>
    </row>
    <row r="61" spans="1:9" x14ac:dyDescent="0.25">
      <c r="A61" s="291" t="s">
        <v>313</v>
      </c>
      <c r="B61" s="292"/>
      <c r="C61" s="292"/>
      <c r="D61" s="292"/>
      <c r="E61" s="292"/>
      <c r="F61" s="292"/>
      <c r="G61" s="293">
        <f>G59*G60</f>
        <v>18.5</v>
      </c>
    </row>
    <row r="62" spans="1:9" x14ac:dyDescent="0.25">
      <c r="A62" s="291" t="s">
        <v>314</v>
      </c>
      <c r="B62" s="292"/>
      <c r="C62" s="292"/>
      <c r="D62" s="292"/>
      <c r="E62" s="292"/>
      <c r="F62" s="292"/>
      <c r="G62" s="293">
        <v>6</v>
      </c>
    </row>
    <row r="63" spans="1:9" x14ac:dyDescent="0.25">
      <c r="A63" s="291" t="s">
        <v>315</v>
      </c>
      <c r="B63" s="292"/>
      <c r="C63" s="292"/>
      <c r="D63" s="292"/>
      <c r="E63" s="292"/>
      <c r="F63" s="292"/>
      <c r="G63" s="293">
        <v>7</v>
      </c>
    </row>
    <row r="64" spans="1:9" x14ac:dyDescent="0.25">
      <c r="A64" s="291" t="s">
        <v>316</v>
      </c>
      <c r="B64" s="292"/>
      <c r="C64" s="292"/>
      <c r="D64" s="292"/>
      <c r="E64" s="292"/>
      <c r="F64" s="292"/>
      <c r="G64" s="300">
        <f>G61/G62</f>
        <v>3.0833333333333335</v>
      </c>
    </row>
    <row r="65" spans="1:7" x14ac:dyDescent="0.25">
      <c r="A65" s="291" t="s">
        <v>317</v>
      </c>
      <c r="B65" s="292"/>
      <c r="C65" s="292"/>
      <c r="D65" s="292"/>
      <c r="E65" s="292"/>
      <c r="F65" s="292"/>
      <c r="G65" s="293">
        <v>30</v>
      </c>
    </row>
    <row r="66" spans="1:7" x14ac:dyDescent="0.25">
      <c r="A66" s="294" t="s">
        <v>318</v>
      </c>
      <c r="B66" s="295"/>
      <c r="C66" s="295"/>
      <c r="D66" s="295"/>
      <c r="E66" s="295"/>
      <c r="F66" s="295"/>
      <c r="G66" s="290">
        <f>G64*G65</f>
        <v>92.5</v>
      </c>
    </row>
    <row r="67" spans="1:7" x14ac:dyDescent="0.25">
      <c r="A67" s="294" t="s">
        <v>320</v>
      </c>
      <c r="B67" s="295"/>
      <c r="C67" s="295"/>
      <c r="D67" s="295"/>
      <c r="E67" s="295"/>
      <c r="F67" s="295"/>
      <c r="G67" s="290">
        <v>220</v>
      </c>
    </row>
    <row r="68" spans="1:7" x14ac:dyDescent="0.25">
      <c r="A68" s="294" t="s">
        <v>321</v>
      </c>
      <c r="B68" s="295"/>
      <c r="C68" s="295"/>
      <c r="D68" s="295"/>
      <c r="E68" s="295"/>
      <c r="F68" s="295"/>
      <c r="G68" s="296">
        <f>G66/G67</f>
        <v>0.42045454545454547</v>
      </c>
    </row>
    <row r="69" spans="1:7" x14ac:dyDescent="0.25">
      <c r="A69" s="288"/>
      <c r="B69" s="288"/>
      <c r="C69" s="288"/>
      <c r="D69" s="288"/>
      <c r="E69" s="288"/>
      <c r="F69" s="288"/>
      <c r="G69" s="353"/>
    </row>
    <row r="70" spans="1:7" x14ac:dyDescent="0.25">
      <c r="A70" s="288" t="s">
        <v>476</v>
      </c>
    </row>
    <row r="71" spans="1:7" x14ac:dyDescent="0.25">
      <c r="A71" s="410" t="s">
        <v>433</v>
      </c>
      <c r="B71" s="292"/>
      <c r="C71" s="292"/>
      <c r="D71" s="292"/>
      <c r="E71" s="292"/>
      <c r="F71" s="292"/>
      <c r="G71" s="293">
        <v>5.5</v>
      </c>
    </row>
    <row r="72" spans="1:7" x14ac:dyDescent="0.25">
      <c r="A72" s="291" t="s">
        <v>312</v>
      </c>
      <c r="B72" s="292"/>
      <c r="C72" s="292"/>
      <c r="D72" s="292"/>
      <c r="E72" s="292"/>
      <c r="F72" s="292"/>
      <c r="G72" s="293">
        <v>2.5</v>
      </c>
    </row>
    <row r="73" spans="1:7" x14ac:dyDescent="0.25">
      <c r="A73" s="291" t="s">
        <v>313</v>
      </c>
      <c r="B73" s="292"/>
      <c r="C73" s="292"/>
      <c r="D73" s="292"/>
      <c r="E73" s="292"/>
      <c r="F73" s="292"/>
      <c r="G73" s="293">
        <f>G71*G72</f>
        <v>13.75</v>
      </c>
    </row>
    <row r="74" spans="1:7" x14ac:dyDescent="0.25">
      <c r="A74" s="291" t="s">
        <v>314</v>
      </c>
      <c r="B74" s="292"/>
      <c r="C74" s="292"/>
      <c r="D74" s="292"/>
      <c r="E74" s="292"/>
      <c r="F74" s="292"/>
      <c r="G74" s="293">
        <v>6</v>
      </c>
    </row>
    <row r="75" spans="1:7" x14ac:dyDescent="0.25">
      <c r="A75" s="291" t="s">
        <v>315</v>
      </c>
      <c r="B75" s="292"/>
      <c r="C75" s="292"/>
      <c r="D75" s="292"/>
      <c r="E75" s="292"/>
      <c r="F75" s="292"/>
      <c r="G75" s="293">
        <v>7</v>
      </c>
    </row>
    <row r="76" spans="1:7" x14ac:dyDescent="0.25">
      <c r="A76" s="291" t="s">
        <v>316</v>
      </c>
      <c r="B76" s="292"/>
      <c r="C76" s="292"/>
      <c r="D76" s="292"/>
      <c r="E76" s="292"/>
      <c r="F76" s="292"/>
      <c r="G76" s="300">
        <f>G73/G74</f>
        <v>2.2916666666666665</v>
      </c>
    </row>
    <row r="77" spans="1:7" x14ac:dyDescent="0.25">
      <c r="A77" s="291" t="s">
        <v>317</v>
      </c>
      <c r="B77" s="292"/>
      <c r="C77" s="292"/>
      <c r="D77" s="292"/>
      <c r="E77" s="292"/>
      <c r="F77" s="292"/>
      <c r="G77" s="293">
        <v>30</v>
      </c>
    </row>
    <row r="78" spans="1:7" x14ac:dyDescent="0.25">
      <c r="A78" s="294" t="s">
        <v>318</v>
      </c>
      <c r="B78" s="295"/>
      <c r="C78" s="295"/>
      <c r="D78" s="295"/>
      <c r="E78" s="295"/>
      <c r="F78" s="295"/>
      <c r="G78" s="290">
        <f>G76*G77</f>
        <v>68.75</v>
      </c>
    </row>
    <row r="79" spans="1:7" x14ac:dyDescent="0.25">
      <c r="A79" s="294" t="s">
        <v>320</v>
      </c>
      <c r="B79" s="295"/>
      <c r="C79" s="295"/>
      <c r="D79" s="295"/>
      <c r="E79" s="295"/>
      <c r="F79" s="295"/>
      <c r="G79" s="290">
        <v>220</v>
      </c>
    </row>
    <row r="80" spans="1:7" x14ac:dyDescent="0.25">
      <c r="A80" s="294" t="s">
        <v>321</v>
      </c>
      <c r="B80" s="295"/>
      <c r="C80" s="295"/>
      <c r="D80" s="295"/>
      <c r="E80" s="295"/>
      <c r="F80" s="295"/>
      <c r="G80" s="296">
        <f>G78/G79</f>
        <v>0.3125</v>
      </c>
    </row>
  </sheetData>
  <mergeCells count="21">
    <mergeCell ref="A13:A14"/>
    <mergeCell ref="B13:B14"/>
    <mergeCell ref="C13:C14"/>
    <mergeCell ref="A17:A18"/>
    <mergeCell ref="B17:B18"/>
    <mergeCell ref="C17:C18"/>
    <mergeCell ref="A15:A16"/>
    <mergeCell ref="B15:B16"/>
    <mergeCell ref="C15:C16"/>
    <mergeCell ref="A11:A12"/>
    <mergeCell ref="B11:B12"/>
    <mergeCell ref="C11:C12"/>
    <mergeCell ref="A5:A6"/>
    <mergeCell ref="B5:B6"/>
    <mergeCell ref="C5:C6"/>
    <mergeCell ref="A7:A8"/>
    <mergeCell ref="B7:B8"/>
    <mergeCell ref="C7:C8"/>
    <mergeCell ref="A9:A10"/>
    <mergeCell ref="B9:B10"/>
    <mergeCell ref="C9:C10"/>
  </mergeCells>
  <pageMargins left="0.51181102362204722" right="0.51181102362204722" top="0.78740157480314965" bottom="0.78740157480314965" header="0.31496062992125984" footer="0.31496062992125984"/>
  <pageSetup paperSize="9" fitToHeight="2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topLeftCell="A19" workbookViewId="0">
      <selection activeCell="A11" sqref="A11"/>
    </sheetView>
  </sheetViews>
  <sheetFormatPr defaultColWidth="8.85546875" defaultRowHeight="15" x14ac:dyDescent="0.25"/>
  <cols>
    <col min="1" max="1" width="11.85546875" style="520" customWidth="1"/>
    <col min="2" max="2" width="8.85546875" style="520" customWidth="1"/>
    <col min="3" max="3" width="17.42578125" style="520" customWidth="1"/>
    <col min="4" max="4" width="14.7109375" style="520" customWidth="1"/>
    <col min="5" max="5" width="8" style="520" customWidth="1"/>
    <col min="6" max="6" width="1.85546875" style="520" customWidth="1"/>
    <col min="7" max="7" width="43.42578125" style="520" customWidth="1"/>
    <col min="8" max="8" width="5.5703125" style="520" bestFit="1" customWidth="1"/>
    <col min="9" max="9" width="3.7109375" style="520" bestFit="1" customWidth="1"/>
    <col min="10" max="10" width="24.42578125" style="520" customWidth="1"/>
    <col min="11" max="11" width="11.85546875" style="520" customWidth="1"/>
    <col min="12" max="12" width="33.85546875" style="520" customWidth="1"/>
    <col min="13" max="13" width="6.5703125" style="520" customWidth="1"/>
    <col min="14" max="14" width="4.85546875" style="520" customWidth="1"/>
    <col min="15" max="15" width="16.7109375" style="520" customWidth="1"/>
    <col min="16" max="16" width="8.7109375" style="520" customWidth="1"/>
    <col min="17" max="16384" width="8.85546875" style="520"/>
  </cols>
  <sheetData>
    <row r="1" spans="1:20" ht="15.75" thickBot="1" x14ac:dyDescent="0.3"/>
    <row r="2" spans="1:20" ht="15" customHeight="1" thickBot="1" x14ac:dyDescent="0.3">
      <c r="A2" s="752" t="s">
        <v>378</v>
      </c>
      <c r="B2" s="753"/>
      <c r="C2" s="753"/>
      <c r="D2" s="753"/>
      <c r="E2" s="754"/>
      <c r="G2" s="752" t="s">
        <v>395</v>
      </c>
      <c r="H2" s="753"/>
      <c r="I2" s="754"/>
      <c r="J2" s="521"/>
      <c r="K2" s="755" t="s">
        <v>396</v>
      </c>
      <c r="L2" s="756"/>
      <c r="M2" s="756"/>
      <c r="N2" s="756"/>
      <c r="O2" s="756"/>
      <c r="P2" s="757"/>
    </row>
    <row r="3" spans="1:20" ht="15" customHeight="1" thickBot="1" x14ac:dyDescent="0.3">
      <c r="A3" s="758"/>
      <c r="B3" s="759"/>
      <c r="C3" s="759"/>
      <c r="D3" s="759"/>
      <c r="E3" s="760"/>
      <c r="F3" s="522"/>
      <c r="G3" s="758"/>
      <c r="H3" s="759"/>
      <c r="I3" s="760"/>
      <c r="J3" s="521"/>
      <c r="K3" s="761"/>
      <c r="L3" s="762"/>
      <c r="M3" s="762"/>
      <c r="N3" s="762"/>
      <c r="O3" s="762"/>
      <c r="P3" s="763"/>
      <c r="Q3" s="522"/>
      <c r="R3" s="522"/>
      <c r="S3" s="522"/>
    </row>
    <row r="4" spans="1:20" ht="15" customHeight="1" thickBot="1" x14ac:dyDescent="0.3">
      <c r="A4" s="734" t="s">
        <v>506</v>
      </c>
      <c r="B4" s="735"/>
      <c r="C4" s="735"/>
      <c r="D4" s="735"/>
      <c r="E4" s="736"/>
      <c r="F4" s="522"/>
      <c r="G4" s="764" t="s">
        <v>507</v>
      </c>
      <c r="H4" s="765"/>
      <c r="I4" s="766"/>
      <c r="J4" s="523"/>
      <c r="K4" s="767" t="s">
        <v>379</v>
      </c>
      <c r="L4" s="768"/>
      <c r="M4" s="768"/>
      <c r="N4" s="768"/>
      <c r="O4" s="768"/>
      <c r="P4" s="769"/>
    </row>
    <row r="5" spans="1:20" ht="15" customHeight="1" x14ac:dyDescent="0.25">
      <c r="A5" s="748" t="s">
        <v>508</v>
      </c>
      <c r="B5" s="738"/>
      <c r="C5" s="738"/>
      <c r="D5" s="738"/>
      <c r="E5" s="739"/>
      <c r="F5" s="522"/>
      <c r="G5" s="770" t="s">
        <v>509</v>
      </c>
      <c r="H5" s="771"/>
      <c r="I5" s="772"/>
      <c r="J5" s="523"/>
      <c r="K5" s="773" t="s">
        <v>380</v>
      </c>
      <c r="L5" s="775" t="s">
        <v>343</v>
      </c>
      <c r="M5" s="775" t="s">
        <v>344</v>
      </c>
      <c r="N5" s="775"/>
      <c r="O5" s="775" t="s">
        <v>381</v>
      </c>
      <c r="P5" s="779" t="s">
        <v>323</v>
      </c>
    </row>
    <row r="6" spans="1:20" s="522" customFormat="1" x14ac:dyDescent="0.25">
      <c r="A6" s="524" t="s">
        <v>345</v>
      </c>
      <c r="B6" s="525" t="s">
        <v>324</v>
      </c>
      <c r="C6" s="525" t="s">
        <v>325</v>
      </c>
      <c r="D6" s="525" t="s">
        <v>322</v>
      </c>
      <c r="E6" s="526" t="s">
        <v>252</v>
      </c>
      <c r="G6" s="527" t="s">
        <v>510</v>
      </c>
      <c r="H6" s="528">
        <v>3</v>
      </c>
      <c r="I6" s="529" t="s">
        <v>18</v>
      </c>
      <c r="J6" s="523"/>
      <c r="K6" s="774"/>
      <c r="L6" s="776"/>
      <c r="M6" s="776"/>
      <c r="N6" s="776"/>
      <c r="O6" s="776"/>
      <c r="P6" s="780"/>
      <c r="Q6" s="520"/>
      <c r="R6" s="520"/>
      <c r="S6" s="520"/>
      <c r="T6" s="523"/>
    </row>
    <row r="7" spans="1:20" s="522" customFormat="1" x14ac:dyDescent="0.25">
      <c r="A7" s="524" t="s">
        <v>327</v>
      </c>
      <c r="B7" s="525"/>
      <c r="C7" s="530" t="s">
        <v>328</v>
      </c>
      <c r="D7" s="574">
        <v>8741.44</v>
      </c>
      <c r="E7" s="529" t="s">
        <v>326</v>
      </c>
      <c r="F7" s="520"/>
      <c r="G7" s="527" t="s">
        <v>511</v>
      </c>
      <c r="H7" s="532">
        <f>D16</f>
        <v>61.415270000000007</v>
      </c>
      <c r="I7" s="529" t="s">
        <v>18</v>
      </c>
      <c r="J7" s="523"/>
      <c r="K7" s="533" t="s">
        <v>382</v>
      </c>
      <c r="L7" s="534" t="s">
        <v>512</v>
      </c>
      <c r="M7" s="535">
        <v>2</v>
      </c>
      <c r="N7" s="536" t="s">
        <v>346</v>
      </c>
      <c r="O7" s="532">
        <f>H10</f>
        <v>81.415270000000007</v>
      </c>
      <c r="P7" s="537" t="s">
        <v>18</v>
      </c>
      <c r="Q7" s="538"/>
      <c r="R7" s="539"/>
      <c r="S7" s="539"/>
      <c r="T7" s="523"/>
    </row>
    <row r="8" spans="1:20" x14ac:dyDescent="0.25">
      <c r="A8" s="524" t="s">
        <v>329</v>
      </c>
      <c r="B8" s="525"/>
      <c r="C8" s="530" t="s">
        <v>330</v>
      </c>
      <c r="D8" s="574">
        <v>4209.6400000000003</v>
      </c>
      <c r="E8" s="529" t="s">
        <v>326</v>
      </c>
      <c r="G8" s="527" t="s">
        <v>513</v>
      </c>
      <c r="H8" s="540">
        <v>7</v>
      </c>
      <c r="I8" s="529" t="s">
        <v>18</v>
      </c>
      <c r="J8" s="523"/>
      <c r="K8" s="781"/>
      <c r="L8" s="782"/>
      <c r="M8" s="782"/>
      <c r="N8" s="782"/>
      <c r="O8" s="782"/>
      <c r="P8" s="783"/>
      <c r="Q8" s="522"/>
      <c r="R8" s="539"/>
      <c r="S8" s="539"/>
    </row>
    <row r="9" spans="1:20" ht="15" customHeight="1" x14ac:dyDescent="0.25">
      <c r="A9" s="524" t="s">
        <v>331</v>
      </c>
      <c r="B9" s="525"/>
      <c r="C9" s="530" t="s">
        <v>332</v>
      </c>
      <c r="D9" s="531">
        <v>7082.48</v>
      </c>
      <c r="E9" s="529" t="s">
        <v>326</v>
      </c>
      <c r="G9" s="527" t="s">
        <v>514</v>
      </c>
      <c r="H9" s="540">
        <v>10</v>
      </c>
      <c r="I9" s="529" t="s">
        <v>18</v>
      </c>
      <c r="J9" s="539"/>
      <c r="K9" s="545" t="s">
        <v>438</v>
      </c>
      <c r="L9" s="640" t="s">
        <v>608</v>
      </c>
      <c r="M9" s="535">
        <v>2</v>
      </c>
      <c r="N9" s="536" t="s">
        <v>346</v>
      </c>
      <c r="O9" s="532">
        <f>H17</f>
        <v>72.00039000000001</v>
      </c>
      <c r="P9" s="537" t="s">
        <v>18</v>
      </c>
    </row>
    <row r="10" spans="1:20" x14ac:dyDescent="0.25">
      <c r="A10" s="524" t="s">
        <v>333</v>
      </c>
      <c r="B10" s="525"/>
      <c r="C10" s="530" t="s">
        <v>334</v>
      </c>
      <c r="D10" s="531">
        <v>6127.52</v>
      </c>
      <c r="E10" s="529" t="s">
        <v>326</v>
      </c>
      <c r="G10" s="542" t="s">
        <v>383</v>
      </c>
      <c r="H10" s="543">
        <f>SUM(H6:H9)</f>
        <v>81.415270000000007</v>
      </c>
      <c r="I10" s="544" t="s">
        <v>18</v>
      </c>
      <c r="J10" s="523"/>
      <c r="K10" s="781"/>
      <c r="L10" s="782"/>
      <c r="M10" s="782"/>
      <c r="N10" s="782"/>
      <c r="O10" s="782"/>
      <c r="P10" s="783"/>
    </row>
    <row r="11" spans="1:20" ht="15.75" thickBot="1" x14ac:dyDescent="0.3">
      <c r="A11" s="524" t="s">
        <v>335</v>
      </c>
      <c r="B11" s="525"/>
      <c r="C11" s="530" t="s">
        <v>336</v>
      </c>
      <c r="D11" s="531">
        <v>6687.72</v>
      </c>
      <c r="E11" s="529" t="s">
        <v>326</v>
      </c>
      <c r="G11" s="745"/>
      <c r="H11" s="746"/>
      <c r="I11" s="747"/>
      <c r="J11" s="523"/>
      <c r="K11" s="545" t="s">
        <v>470</v>
      </c>
      <c r="L11" s="534" t="s">
        <v>512</v>
      </c>
      <c r="M11" s="535">
        <v>2</v>
      </c>
      <c r="N11" s="536" t="s">
        <v>346</v>
      </c>
      <c r="O11" s="532">
        <f>H24</f>
        <v>70.396330000000006</v>
      </c>
      <c r="P11" s="537" t="s">
        <v>18</v>
      </c>
      <c r="Q11" s="522"/>
      <c r="R11" s="522"/>
    </row>
    <row r="12" spans="1:20" x14ac:dyDescent="0.25">
      <c r="A12" s="524" t="s">
        <v>337</v>
      </c>
      <c r="B12" s="525"/>
      <c r="C12" s="530" t="s">
        <v>338</v>
      </c>
      <c r="D12" s="531">
        <v>10289.77</v>
      </c>
      <c r="E12" s="529" t="s">
        <v>326</v>
      </c>
      <c r="G12" s="770" t="s">
        <v>440</v>
      </c>
      <c r="H12" s="771"/>
      <c r="I12" s="772"/>
      <c r="K12" s="781"/>
      <c r="L12" s="782"/>
      <c r="M12" s="782"/>
      <c r="N12" s="782"/>
      <c r="O12" s="782"/>
      <c r="P12" s="783"/>
      <c r="T12" s="523"/>
    </row>
    <row r="13" spans="1:20" ht="15" customHeight="1" x14ac:dyDescent="0.25">
      <c r="A13" s="524" t="s">
        <v>339</v>
      </c>
      <c r="B13" s="525"/>
      <c r="C13" s="530" t="s">
        <v>340</v>
      </c>
      <c r="D13" s="531">
        <v>6895.73</v>
      </c>
      <c r="E13" s="529" t="s">
        <v>326</v>
      </c>
      <c r="G13" s="527" t="s">
        <v>515</v>
      </c>
      <c r="H13" s="528">
        <v>3</v>
      </c>
      <c r="I13" s="529" t="s">
        <v>18</v>
      </c>
      <c r="J13" s="546"/>
      <c r="K13" s="545" t="s">
        <v>518</v>
      </c>
      <c r="L13" s="640" t="s">
        <v>608</v>
      </c>
      <c r="M13" s="535">
        <v>2</v>
      </c>
      <c r="N13" s="536" t="s">
        <v>346</v>
      </c>
      <c r="O13" s="532">
        <f>H31</f>
        <v>66.373229999999992</v>
      </c>
      <c r="P13" s="537" t="s">
        <v>18</v>
      </c>
      <c r="S13" s="539"/>
      <c r="T13" s="523"/>
    </row>
    <row r="14" spans="1:20" x14ac:dyDescent="0.25">
      <c r="A14" s="524" t="s">
        <v>341</v>
      </c>
      <c r="B14" s="525"/>
      <c r="C14" s="530" t="s">
        <v>350</v>
      </c>
      <c r="D14" s="531">
        <v>8310.7099999999991</v>
      </c>
      <c r="E14" s="529" t="s">
        <v>326</v>
      </c>
      <c r="G14" s="527" t="s">
        <v>516</v>
      </c>
      <c r="H14" s="532">
        <f>D30</f>
        <v>52.00039000000001</v>
      </c>
      <c r="I14" s="529" t="s">
        <v>18</v>
      </c>
      <c r="J14" s="546"/>
      <c r="K14" s="788"/>
      <c r="L14" s="789"/>
      <c r="M14" s="789"/>
      <c r="N14" s="789"/>
      <c r="O14" s="789"/>
      <c r="P14" s="790"/>
      <c r="Q14" s="547"/>
      <c r="R14" s="548"/>
      <c r="S14" s="539"/>
    </row>
    <row r="15" spans="1:20" x14ac:dyDescent="0.25">
      <c r="A15" s="524" t="s">
        <v>472</v>
      </c>
      <c r="B15" s="525"/>
      <c r="C15" s="530" t="s">
        <v>473</v>
      </c>
      <c r="D15" s="531">
        <v>3070.26</v>
      </c>
      <c r="E15" s="529" t="s">
        <v>326</v>
      </c>
      <c r="G15" s="527" t="s">
        <v>517</v>
      </c>
      <c r="H15" s="540">
        <v>7</v>
      </c>
      <c r="I15" s="529" t="s">
        <v>18</v>
      </c>
      <c r="J15" s="522"/>
      <c r="K15" s="639" t="s">
        <v>606</v>
      </c>
      <c r="L15" s="640" t="s">
        <v>607</v>
      </c>
      <c r="M15" s="535">
        <v>4</v>
      </c>
      <c r="N15" s="536" t="s">
        <v>346</v>
      </c>
      <c r="O15" s="532">
        <f>H38</f>
        <v>41.664020000000001</v>
      </c>
      <c r="P15" s="537" t="s">
        <v>18</v>
      </c>
      <c r="S15" s="539"/>
    </row>
    <row r="16" spans="1:20" ht="15.75" thickBot="1" x14ac:dyDescent="0.3">
      <c r="A16" s="740" t="s">
        <v>342</v>
      </c>
      <c r="B16" s="741"/>
      <c r="C16" s="741"/>
      <c r="D16" s="552">
        <f>SUM(D7:D15)/1000</f>
        <v>61.415270000000007</v>
      </c>
      <c r="E16" s="553" t="s">
        <v>18</v>
      </c>
      <c r="G16" s="527" t="s">
        <v>514</v>
      </c>
      <c r="H16" s="540">
        <v>10</v>
      </c>
      <c r="I16" s="529" t="s">
        <v>18</v>
      </c>
      <c r="J16" s="522"/>
      <c r="K16" s="784"/>
      <c r="L16" s="785"/>
      <c r="M16" s="785"/>
      <c r="N16" s="785"/>
      <c r="O16" s="785"/>
      <c r="P16" s="786"/>
      <c r="Q16" s="522"/>
      <c r="R16" s="522"/>
    </row>
    <row r="17" spans="1:18" ht="15.75" customHeight="1" x14ac:dyDescent="0.25">
      <c r="A17" s="728"/>
      <c r="B17" s="729"/>
      <c r="C17" s="729"/>
      <c r="D17" s="729"/>
      <c r="E17" s="730"/>
      <c r="G17" s="542" t="s">
        <v>383</v>
      </c>
      <c r="H17" s="543">
        <f>SUM(H13:H16)</f>
        <v>72.00039000000001</v>
      </c>
      <c r="I17" s="544" t="s">
        <v>18</v>
      </c>
      <c r="J17" s="523"/>
      <c r="K17" s="787" t="s">
        <v>347</v>
      </c>
      <c r="L17" s="776"/>
      <c r="M17" s="776"/>
      <c r="N17" s="776"/>
      <c r="O17" s="549">
        <f>(O7*M7)+(M9*O9)+(M11*O11)+(M13*O13)+(M15*O15)</f>
        <v>747.02652</v>
      </c>
      <c r="P17" s="550" t="s">
        <v>348</v>
      </c>
      <c r="Q17" s="538"/>
      <c r="R17" s="551"/>
    </row>
    <row r="18" spans="1:18" ht="15" customHeight="1" thickBot="1" x14ac:dyDescent="0.3">
      <c r="A18" s="731"/>
      <c r="B18" s="732"/>
      <c r="C18" s="732"/>
      <c r="D18" s="732"/>
      <c r="E18" s="733"/>
      <c r="G18" s="745"/>
      <c r="H18" s="746"/>
      <c r="I18" s="747"/>
      <c r="J18" s="522"/>
      <c r="K18" s="777" t="s">
        <v>349</v>
      </c>
      <c r="L18" s="778"/>
      <c r="M18" s="778"/>
      <c r="N18" s="778"/>
      <c r="O18" s="554">
        <f>((O17/7)*30)</f>
        <v>3201.5422285714285</v>
      </c>
      <c r="P18" s="555" t="s">
        <v>348</v>
      </c>
      <c r="R18" s="551"/>
    </row>
    <row r="19" spans="1:18" ht="15" customHeight="1" thickBot="1" x14ac:dyDescent="0.3">
      <c r="A19" s="734" t="s">
        <v>520</v>
      </c>
      <c r="B19" s="735"/>
      <c r="C19" s="735"/>
      <c r="D19" s="735"/>
      <c r="E19" s="736"/>
      <c r="G19" s="770" t="s">
        <v>471</v>
      </c>
      <c r="H19" s="771"/>
      <c r="I19" s="772"/>
      <c r="J19" s="522"/>
      <c r="K19" s="791"/>
      <c r="L19" s="792"/>
      <c r="M19" s="792"/>
      <c r="N19" s="792"/>
      <c r="O19" s="792"/>
      <c r="P19" s="793"/>
      <c r="Q19" s="547"/>
      <c r="R19" s="556"/>
    </row>
    <row r="20" spans="1:18" ht="15" customHeight="1" thickBot="1" x14ac:dyDescent="0.3">
      <c r="A20" s="748" t="s">
        <v>508</v>
      </c>
      <c r="B20" s="738"/>
      <c r="C20" s="738"/>
      <c r="D20" s="738"/>
      <c r="E20" s="739"/>
      <c r="G20" s="527" t="s">
        <v>519</v>
      </c>
      <c r="H20" s="528">
        <v>3</v>
      </c>
      <c r="I20" s="529" t="s">
        <v>18</v>
      </c>
      <c r="J20" s="522"/>
      <c r="K20" s="794"/>
      <c r="L20" s="795"/>
      <c r="M20" s="795"/>
      <c r="N20" s="795"/>
      <c r="O20" s="795"/>
      <c r="P20" s="796"/>
    </row>
    <row r="21" spans="1:18" ht="15" customHeight="1" thickBot="1" x14ac:dyDescent="0.3">
      <c r="A21" s="524" t="s">
        <v>345</v>
      </c>
      <c r="B21" s="525" t="s">
        <v>324</v>
      </c>
      <c r="C21" s="525" t="s">
        <v>325</v>
      </c>
      <c r="D21" s="525" t="s">
        <v>322</v>
      </c>
      <c r="E21" s="526" t="s">
        <v>252</v>
      </c>
      <c r="G21" s="527" t="s">
        <v>521</v>
      </c>
      <c r="H21" s="532">
        <f>D45</f>
        <v>50.396329999999999</v>
      </c>
      <c r="I21" s="529" t="s">
        <v>18</v>
      </c>
      <c r="J21" s="522"/>
      <c r="K21" s="767" t="s">
        <v>522</v>
      </c>
      <c r="L21" s="768"/>
      <c r="M21" s="768"/>
      <c r="N21" s="768"/>
      <c r="O21" s="768"/>
      <c r="P21" s="769"/>
      <c r="R21" s="641"/>
    </row>
    <row r="22" spans="1:18" x14ac:dyDescent="0.25">
      <c r="A22" s="524" t="s">
        <v>327</v>
      </c>
      <c r="B22" s="525"/>
      <c r="C22" s="530" t="s">
        <v>328</v>
      </c>
      <c r="D22" s="574">
        <v>8741.44</v>
      </c>
      <c r="E22" s="529" t="s">
        <v>326</v>
      </c>
      <c r="G22" s="527" t="s">
        <v>523</v>
      </c>
      <c r="H22" s="540">
        <v>7</v>
      </c>
      <c r="I22" s="529" t="s">
        <v>18</v>
      </c>
      <c r="J22" s="522"/>
      <c r="K22" s="773" t="s">
        <v>380</v>
      </c>
      <c r="L22" s="775" t="s">
        <v>343</v>
      </c>
      <c r="M22" s="775" t="s">
        <v>344</v>
      </c>
      <c r="N22" s="775"/>
      <c r="O22" s="775" t="s">
        <v>381</v>
      </c>
      <c r="P22" s="779" t="s">
        <v>323</v>
      </c>
    </row>
    <row r="23" spans="1:18" x14ac:dyDescent="0.25">
      <c r="A23" s="524" t="s">
        <v>329</v>
      </c>
      <c r="B23" s="525"/>
      <c r="C23" s="530" t="s">
        <v>330</v>
      </c>
      <c r="D23" s="574">
        <v>4209.6400000000003</v>
      </c>
      <c r="E23" s="529" t="s">
        <v>326</v>
      </c>
      <c r="G23" s="527" t="s">
        <v>514</v>
      </c>
      <c r="H23" s="540">
        <v>10</v>
      </c>
      <c r="I23" s="529" t="s">
        <v>18</v>
      </c>
      <c r="J23" s="522"/>
      <c r="K23" s="774"/>
      <c r="L23" s="776"/>
      <c r="M23" s="776"/>
      <c r="N23" s="776"/>
      <c r="O23" s="776"/>
      <c r="P23" s="780"/>
    </row>
    <row r="24" spans="1:18" x14ac:dyDescent="0.25">
      <c r="A24" s="524" t="s">
        <v>331</v>
      </c>
      <c r="B24" s="525"/>
      <c r="C24" s="530" t="s">
        <v>332</v>
      </c>
      <c r="D24" s="531">
        <v>7082.48</v>
      </c>
      <c r="E24" s="529" t="s">
        <v>326</v>
      </c>
      <c r="G24" s="542" t="s">
        <v>383</v>
      </c>
      <c r="H24" s="543">
        <f>SUM(H20:H23)</f>
        <v>70.396330000000006</v>
      </c>
      <c r="I24" s="544" t="s">
        <v>18</v>
      </c>
      <c r="J24" s="523"/>
      <c r="K24" s="545" t="s">
        <v>382</v>
      </c>
      <c r="L24" s="534" t="s">
        <v>439</v>
      </c>
      <c r="M24" s="535">
        <v>1</v>
      </c>
      <c r="N24" s="536" t="s">
        <v>346</v>
      </c>
      <c r="O24" s="532">
        <f>H10</f>
        <v>81.415270000000007</v>
      </c>
      <c r="P24" s="537" t="s">
        <v>18</v>
      </c>
    </row>
    <row r="25" spans="1:18" ht="15.75" thickBot="1" x14ac:dyDescent="0.3">
      <c r="A25" s="524" t="s">
        <v>333</v>
      </c>
      <c r="B25" s="525"/>
      <c r="C25" s="530" t="s">
        <v>334</v>
      </c>
      <c r="D25" s="531">
        <v>6127.52</v>
      </c>
      <c r="E25" s="529" t="s">
        <v>326</v>
      </c>
      <c r="G25" s="797"/>
      <c r="H25" s="798"/>
      <c r="I25" s="799"/>
      <c r="J25" s="523"/>
      <c r="K25" s="781"/>
      <c r="L25" s="782"/>
      <c r="M25" s="782"/>
      <c r="N25" s="782"/>
      <c r="O25" s="782"/>
      <c r="P25" s="783"/>
      <c r="R25" s="641"/>
    </row>
    <row r="26" spans="1:18" x14ac:dyDescent="0.25">
      <c r="A26" s="524" t="s">
        <v>335</v>
      </c>
      <c r="B26" s="525"/>
      <c r="C26" s="530" t="s">
        <v>336</v>
      </c>
      <c r="D26" s="531">
        <v>6687.72</v>
      </c>
      <c r="E26" s="529" t="s">
        <v>326</v>
      </c>
      <c r="G26" s="742" t="s">
        <v>524</v>
      </c>
      <c r="H26" s="743"/>
      <c r="I26" s="744"/>
      <c r="J26" s="523"/>
      <c r="K26" s="545" t="s">
        <v>438</v>
      </c>
      <c r="L26" s="534" t="s">
        <v>526</v>
      </c>
      <c r="M26" s="535">
        <v>1</v>
      </c>
      <c r="N26" s="536" t="s">
        <v>346</v>
      </c>
      <c r="O26" s="532">
        <f>H17</f>
        <v>72.00039000000001</v>
      </c>
      <c r="P26" s="537" t="s">
        <v>18</v>
      </c>
    </row>
    <row r="27" spans="1:18" x14ac:dyDescent="0.25">
      <c r="A27" s="524" t="s">
        <v>337</v>
      </c>
      <c r="B27" s="525"/>
      <c r="C27" s="530" t="s">
        <v>338</v>
      </c>
      <c r="D27" s="531">
        <v>7770.62</v>
      </c>
      <c r="E27" s="529" t="s">
        <v>326</v>
      </c>
      <c r="G27" s="527" t="s">
        <v>525</v>
      </c>
      <c r="H27" s="528">
        <v>3</v>
      </c>
      <c r="I27" s="529" t="s">
        <v>18</v>
      </c>
      <c r="K27" s="781"/>
      <c r="L27" s="782"/>
      <c r="M27" s="782"/>
      <c r="N27" s="782"/>
      <c r="O27" s="782"/>
      <c r="P27" s="783"/>
    </row>
    <row r="28" spans="1:18" x14ac:dyDescent="0.25">
      <c r="A28" s="524" t="s">
        <v>339</v>
      </c>
      <c r="B28" s="525"/>
      <c r="C28" s="530" t="s">
        <v>340</v>
      </c>
      <c r="D28" s="531">
        <v>8310.7099999999991</v>
      </c>
      <c r="E28" s="529" t="s">
        <v>326</v>
      </c>
      <c r="G28" s="527" t="s">
        <v>527</v>
      </c>
      <c r="H28" s="532">
        <f>D59</f>
        <v>46.373229999999992</v>
      </c>
      <c r="I28" s="529" t="s">
        <v>18</v>
      </c>
      <c r="J28" s="523"/>
      <c r="K28" s="545" t="s">
        <v>470</v>
      </c>
      <c r="L28" s="534" t="s">
        <v>439</v>
      </c>
      <c r="M28" s="535">
        <v>1</v>
      </c>
      <c r="N28" s="536" t="s">
        <v>346</v>
      </c>
      <c r="O28" s="532">
        <f>H24</f>
        <v>70.396330000000006</v>
      </c>
      <c r="P28" s="537" t="s">
        <v>18</v>
      </c>
    </row>
    <row r="29" spans="1:18" x14ac:dyDescent="0.25">
      <c r="A29" s="524" t="s">
        <v>341</v>
      </c>
      <c r="B29" s="525"/>
      <c r="C29" s="530" t="s">
        <v>350</v>
      </c>
      <c r="D29" s="531">
        <v>3070.26</v>
      </c>
      <c r="E29" s="529" t="s">
        <v>326</v>
      </c>
      <c r="G29" s="527" t="s">
        <v>528</v>
      </c>
      <c r="H29" s="540">
        <v>7</v>
      </c>
      <c r="I29" s="529" t="s">
        <v>18</v>
      </c>
      <c r="K29" s="781"/>
      <c r="L29" s="782"/>
      <c r="M29" s="782"/>
      <c r="N29" s="782"/>
      <c r="O29" s="782"/>
      <c r="P29" s="783"/>
      <c r="R29" s="539"/>
    </row>
    <row r="30" spans="1:18" ht="15.75" thickBot="1" x14ac:dyDescent="0.3">
      <c r="A30" s="740" t="s">
        <v>342</v>
      </c>
      <c r="B30" s="741"/>
      <c r="C30" s="741"/>
      <c r="D30" s="552">
        <f>SUM(D22:D29)/1000</f>
        <v>52.00039000000001</v>
      </c>
      <c r="E30" s="553" t="s">
        <v>18</v>
      </c>
      <c r="G30" s="527" t="s">
        <v>514</v>
      </c>
      <c r="H30" s="540">
        <v>10</v>
      </c>
      <c r="I30" s="529" t="s">
        <v>18</v>
      </c>
      <c r="K30" s="545" t="s">
        <v>518</v>
      </c>
      <c r="L30" s="534" t="s">
        <v>526</v>
      </c>
      <c r="M30" s="535">
        <v>1</v>
      </c>
      <c r="N30" s="536" t="s">
        <v>346</v>
      </c>
      <c r="O30" s="532">
        <f>H31</f>
        <v>66.373229999999992</v>
      </c>
      <c r="P30" s="537" t="s">
        <v>18</v>
      </c>
    </row>
    <row r="31" spans="1:18" x14ac:dyDescent="0.25">
      <c r="A31" s="728"/>
      <c r="B31" s="729"/>
      <c r="C31" s="729"/>
      <c r="D31" s="729"/>
      <c r="E31" s="730"/>
      <c r="G31" s="542" t="s">
        <v>383</v>
      </c>
      <c r="H31" s="543">
        <f>SUM(H27:H30)</f>
        <v>66.373229999999992</v>
      </c>
      <c r="I31" s="544" t="s">
        <v>18</v>
      </c>
      <c r="K31" s="635"/>
      <c r="L31" s="642"/>
      <c r="M31" s="636"/>
      <c r="N31" s="637"/>
      <c r="O31" s="541"/>
      <c r="P31" s="638"/>
      <c r="R31" s="641"/>
    </row>
    <row r="32" spans="1:18" ht="15.75" thickBot="1" x14ac:dyDescent="0.3">
      <c r="A32" s="731"/>
      <c r="B32" s="732"/>
      <c r="C32" s="732"/>
      <c r="D32" s="732"/>
      <c r="E32" s="733"/>
      <c r="G32" s="745"/>
      <c r="H32" s="746"/>
      <c r="I32" s="747"/>
      <c r="K32" s="639" t="s">
        <v>606</v>
      </c>
      <c r="L32" s="640" t="s">
        <v>609</v>
      </c>
      <c r="M32" s="535">
        <v>2</v>
      </c>
      <c r="N32" s="536" t="s">
        <v>346</v>
      </c>
      <c r="O32" s="532">
        <f>H38</f>
        <v>41.664020000000001</v>
      </c>
      <c r="P32" s="537" t="s">
        <v>18</v>
      </c>
    </row>
    <row r="33" spans="1:19" ht="15.75" thickBot="1" x14ac:dyDescent="0.3">
      <c r="A33" s="734" t="s">
        <v>529</v>
      </c>
      <c r="B33" s="735"/>
      <c r="C33" s="735"/>
      <c r="D33" s="735"/>
      <c r="E33" s="736"/>
      <c r="G33" s="742" t="s">
        <v>602</v>
      </c>
      <c r="H33" s="743"/>
      <c r="I33" s="744"/>
      <c r="K33" s="781"/>
      <c r="L33" s="782"/>
      <c r="M33" s="782"/>
      <c r="N33" s="782"/>
      <c r="O33" s="782"/>
      <c r="P33" s="783"/>
      <c r="S33" s="539"/>
    </row>
    <row r="34" spans="1:19" ht="15" customHeight="1" x14ac:dyDescent="0.25">
      <c r="A34" s="748" t="s">
        <v>530</v>
      </c>
      <c r="B34" s="738"/>
      <c r="C34" s="738"/>
      <c r="D34" s="738"/>
      <c r="E34" s="739"/>
      <c r="G34" s="632" t="s">
        <v>603</v>
      </c>
      <c r="H34" s="528">
        <v>3</v>
      </c>
      <c r="I34" s="529" t="s">
        <v>18</v>
      </c>
      <c r="K34" s="787" t="s">
        <v>347</v>
      </c>
      <c r="L34" s="776"/>
      <c r="M34" s="776"/>
      <c r="N34" s="776"/>
      <c r="O34" s="549">
        <f>(O24*M24)+(M26*O26)+(M28*O28)+(M30*O30)+(M32*O32)</f>
        <v>373.51326</v>
      </c>
      <c r="P34" s="550" t="s">
        <v>348</v>
      </c>
    </row>
    <row r="35" spans="1:19" ht="15.75" thickBot="1" x14ac:dyDescent="0.3">
      <c r="A35" s="524" t="s">
        <v>345</v>
      </c>
      <c r="B35" s="525" t="s">
        <v>324</v>
      </c>
      <c r="C35" s="525" t="s">
        <v>325</v>
      </c>
      <c r="D35" s="525" t="s">
        <v>322</v>
      </c>
      <c r="E35" s="526" t="s">
        <v>252</v>
      </c>
      <c r="G35" s="632" t="s">
        <v>605</v>
      </c>
      <c r="H35" s="532">
        <f>D70</f>
        <v>21.664020000000001</v>
      </c>
      <c r="I35" s="529" t="s">
        <v>18</v>
      </c>
      <c r="K35" s="777" t="s">
        <v>349</v>
      </c>
      <c r="L35" s="778"/>
      <c r="M35" s="778"/>
      <c r="N35" s="778"/>
      <c r="O35" s="554">
        <f>((O34/7)*30)</f>
        <v>1600.7711142857142</v>
      </c>
      <c r="P35" s="555" t="s">
        <v>348</v>
      </c>
      <c r="R35" s="641"/>
    </row>
    <row r="36" spans="1:19" x14ac:dyDescent="0.25">
      <c r="A36" s="524" t="s">
        <v>327</v>
      </c>
      <c r="B36" s="525"/>
      <c r="C36" s="530" t="s">
        <v>328</v>
      </c>
      <c r="D36" s="531">
        <v>8102.9</v>
      </c>
      <c r="E36" s="529" t="s">
        <v>326</v>
      </c>
      <c r="G36" s="632" t="s">
        <v>604</v>
      </c>
      <c r="H36" s="540">
        <v>7</v>
      </c>
      <c r="I36" s="529" t="s">
        <v>18</v>
      </c>
    </row>
    <row r="37" spans="1:19" ht="15.75" thickBot="1" x14ac:dyDescent="0.3">
      <c r="A37" s="524" t="s">
        <v>329</v>
      </c>
      <c r="B37" s="525"/>
      <c r="C37" s="530" t="s">
        <v>330</v>
      </c>
      <c r="D37" s="574">
        <v>3253.23</v>
      </c>
      <c r="E37" s="529" t="s">
        <v>326</v>
      </c>
      <c r="G37" s="527" t="s">
        <v>514</v>
      </c>
      <c r="H37" s="540">
        <v>10</v>
      </c>
      <c r="I37" s="529" t="s">
        <v>18</v>
      </c>
    </row>
    <row r="38" spans="1:19" ht="15.75" thickBot="1" x14ac:dyDescent="0.3">
      <c r="A38" s="524" t="s">
        <v>331</v>
      </c>
      <c r="B38" s="525"/>
      <c r="C38" s="530" t="s">
        <v>332</v>
      </c>
      <c r="D38" s="531">
        <v>3088.45</v>
      </c>
      <c r="E38" s="529" t="s">
        <v>326</v>
      </c>
      <c r="G38" s="542" t="s">
        <v>383</v>
      </c>
      <c r="H38" s="543">
        <f>SUM(H34:H37)</f>
        <v>41.664020000000001</v>
      </c>
      <c r="I38" s="544" t="s">
        <v>18</v>
      </c>
      <c r="K38" s="800" t="s">
        <v>532</v>
      </c>
      <c r="L38" s="801"/>
      <c r="M38" s="801"/>
      <c r="N38" s="801"/>
      <c r="O38" s="801"/>
      <c r="P38" s="802"/>
    </row>
    <row r="39" spans="1:19" ht="15.75" thickBot="1" x14ac:dyDescent="0.3">
      <c r="A39" s="524" t="s">
        <v>333</v>
      </c>
      <c r="B39" s="525"/>
      <c r="C39" s="530" t="s">
        <v>334</v>
      </c>
      <c r="D39" s="531">
        <v>4110.8500000000004</v>
      </c>
      <c r="E39" s="529" t="s">
        <v>326</v>
      </c>
      <c r="G39" s="745"/>
      <c r="H39" s="746"/>
      <c r="I39" s="747"/>
      <c r="K39" s="807" t="s">
        <v>533</v>
      </c>
      <c r="L39" s="808"/>
      <c r="M39" s="809" t="s">
        <v>534</v>
      </c>
      <c r="N39" s="808"/>
      <c r="O39" s="558" t="s">
        <v>322</v>
      </c>
      <c r="P39" s="560" t="s">
        <v>65</v>
      </c>
      <c r="R39" s="641"/>
    </row>
    <row r="40" spans="1:19" x14ac:dyDescent="0.25">
      <c r="A40" s="524" t="s">
        <v>335</v>
      </c>
      <c r="B40" s="525"/>
      <c r="C40" s="530" t="s">
        <v>336</v>
      </c>
      <c r="D40" s="531">
        <v>5835.61</v>
      </c>
      <c r="E40" s="529" t="s">
        <v>326</v>
      </c>
      <c r="K40" s="803" t="s">
        <v>535</v>
      </c>
      <c r="L40" s="804"/>
      <c r="M40" s="810" t="s">
        <v>536</v>
      </c>
      <c r="N40" s="810"/>
      <c r="O40" s="563">
        <v>121</v>
      </c>
      <c r="P40" s="564" t="s">
        <v>18</v>
      </c>
    </row>
    <row r="41" spans="1:19" ht="15.75" thickBot="1" x14ac:dyDescent="0.3">
      <c r="A41" s="524" t="s">
        <v>337</v>
      </c>
      <c r="B41" s="525"/>
      <c r="C41" s="530" t="s">
        <v>338</v>
      </c>
      <c r="D41" s="531">
        <v>2875.31</v>
      </c>
      <c r="E41" s="529" t="s">
        <v>326</v>
      </c>
      <c r="H41" s="539"/>
      <c r="I41" s="539"/>
      <c r="K41" s="805"/>
      <c r="L41" s="806"/>
      <c r="M41" s="811" t="s">
        <v>537</v>
      </c>
      <c r="N41" s="811"/>
      <c r="O41" s="565">
        <v>121</v>
      </c>
      <c r="P41" s="566" t="s">
        <v>18</v>
      </c>
    </row>
    <row r="42" spans="1:19" ht="15.75" thickBot="1" x14ac:dyDescent="0.3">
      <c r="A42" s="524" t="s">
        <v>339</v>
      </c>
      <c r="B42" s="525"/>
      <c r="C42" s="530" t="s">
        <v>340</v>
      </c>
      <c r="D42" s="531">
        <v>7187.69</v>
      </c>
      <c r="E42" s="529" t="s">
        <v>326</v>
      </c>
      <c r="H42" s="539"/>
      <c r="K42" s="819" t="s">
        <v>538</v>
      </c>
      <c r="L42" s="820"/>
      <c r="M42" s="820"/>
      <c r="N42" s="821"/>
      <c r="O42" s="561">
        <f>SUM(O40:O41)</f>
        <v>242</v>
      </c>
      <c r="P42" s="562" t="s">
        <v>18</v>
      </c>
    </row>
    <row r="43" spans="1:19" ht="15.75" thickBot="1" x14ac:dyDescent="0.3">
      <c r="A43" s="524" t="s">
        <v>341</v>
      </c>
      <c r="B43" s="525"/>
      <c r="C43" s="530" t="s">
        <v>350</v>
      </c>
      <c r="D43" s="531">
        <v>9591.1200000000008</v>
      </c>
      <c r="E43" s="529" t="s">
        <v>326</v>
      </c>
      <c r="H43" s="539"/>
      <c r="K43" s="812"/>
      <c r="L43" s="813"/>
      <c r="M43" s="814"/>
      <c r="N43" s="814"/>
      <c r="O43" s="814"/>
      <c r="P43" s="815"/>
    </row>
    <row r="44" spans="1:19" ht="15" customHeight="1" thickBot="1" x14ac:dyDescent="0.3">
      <c r="A44" s="524" t="s">
        <v>472</v>
      </c>
      <c r="B44" s="525"/>
      <c r="C44" s="530" t="s">
        <v>473</v>
      </c>
      <c r="D44" s="531">
        <v>6351.17</v>
      </c>
      <c r="E44" s="529" t="s">
        <v>326</v>
      </c>
      <c r="H44" s="539"/>
      <c r="K44" s="822" t="s">
        <v>539</v>
      </c>
      <c r="L44" s="823"/>
      <c r="M44" s="823"/>
      <c r="N44" s="824"/>
      <c r="O44" s="603">
        <v>10</v>
      </c>
      <c r="P44" s="559" t="s">
        <v>10</v>
      </c>
    </row>
    <row r="45" spans="1:19" ht="15.75" thickBot="1" x14ac:dyDescent="0.3">
      <c r="A45" s="740" t="s">
        <v>342</v>
      </c>
      <c r="B45" s="741"/>
      <c r="C45" s="741"/>
      <c r="D45" s="552">
        <f>SUM(D36:D44)/1000</f>
        <v>50.396329999999999</v>
      </c>
      <c r="E45" s="553" t="s">
        <v>18</v>
      </c>
      <c r="H45" s="539"/>
      <c r="K45" s="816"/>
      <c r="L45" s="817"/>
      <c r="M45" s="817"/>
      <c r="N45" s="817"/>
      <c r="O45" s="817"/>
      <c r="P45" s="818"/>
    </row>
    <row r="46" spans="1:19" ht="15.75" customHeight="1" thickBot="1" x14ac:dyDescent="0.3">
      <c r="A46" s="728"/>
      <c r="B46" s="729"/>
      <c r="C46" s="729"/>
      <c r="D46" s="729"/>
      <c r="E46" s="730"/>
      <c r="K46" s="749" t="s">
        <v>540</v>
      </c>
      <c r="L46" s="750"/>
      <c r="M46" s="750"/>
      <c r="N46" s="751"/>
      <c r="O46" s="567">
        <f>O42*O44</f>
        <v>2420</v>
      </c>
      <c r="P46" s="557" t="s">
        <v>348</v>
      </c>
    </row>
    <row r="47" spans="1:19" ht="15.75" thickBot="1" x14ac:dyDescent="0.3">
      <c r="A47" s="731"/>
      <c r="B47" s="732"/>
      <c r="C47" s="732"/>
      <c r="D47" s="732"/>
      <c r="E47" s="733"/>
      <c r="G47" s="634"/>
      <c r="H47" s="539"/>
    </row>
    <row r="48" spans="1:19" ht="15.75" thickBot="1" x14ac:dyDescent="0.3">
      <c r="A48" s="734" t="s">
        <v>531</v>
      </c>
      <c r="B48" s="735"/>
      <c r="C48" s="735"/>
      <c r="D48" s="735"/>
      <c r="E48" s="736"/>
    </row>
    <row r="49" spans="1:10" x14ac:dyDescent="0.25">
      <c r="A49" s="748" t="s">
        <v>530</v>
      </c>
      <c r="B49" s="738"/>
      <c r="C49" s="738"/>
      <c r="D49" s="738"/>
      <c r="E49" s="739"/>
    </row>
    <row r="50" spans="1:10" x14ac:dyDescent="0.25">
      <c r="A50" s="524" t="s">
        <v>345</v>
      </c>
      <c r="B50" s="525" t="s">
        <v>324</v>
      </c>
      <c r="C50" s="525" t="s">
        <v>325</v>
      </c>
      <c r="D50" s="525" t="s">
        <v>322</v>
      </c>
      <c r="E50" s="526" t="s">
        <v>252</v>
      </c>
    </row>
    <row r="51" spans="1:10" x14ac:dyDescent="0.25">
      <c r="A51" s="524" t="s">
        <v>327</v>
      </c>
      <c r="B51" s="525"/>
      <c r="C51" s="530" t="s">
        <v>328</v>
      </c>
      <c r="D51" s="531">
        <v>8102.9</v>
      </c>
      <c r="E51" s="529" t="s">
        <v>326</v>
      </c>
    </row>
    <row r="52" spans="1:10" x14ac:dyDescent="0.25">
      <c r="A52" s="524" t="s">
        <v>329</v>
      </c>
      <c r="B52" s="525"/>
      <c r="C52" s="530" t="s">
        <v>330</v>
      </c>
      <c r="D52" s="574">
        <v>3253.23</v>
      </c>
      <c r="E52" s="529" t="s">
        <v>326</v>
      </c>
      <c r="J52" s="634"/>
    </row>
    <row r="53" spans="1:10" x14ac:dyDescent="0.25">
      <c r="A53" s="524" t="s">
        <v>331</v>
      </c>
      <c r="B53" s="525"/>
      <c r="C53" s="530" t="s">
        <v>332</v>
      </c>
      <c r="D53" s="531">
        <v>3088.45</v>
      </c>
      <c r="E53" s="529" t="s">
        <v>326</v>
      </c>
      <c r="G53" s="634"/>
    </row>
    <row r="54" spans="1:10" x14ac:dyDescent="0.25">
      <c r="A54" s="524" t="s">
        <v>333</v>
      </c>
      <c r="B54" s="525"/>
      <c r="C54" s="530" t="s">
        <v>334</v>
      </c>
      <c r="D54" s="531">
        <v>5923.36</v>
      </c>
      <c r="E54" s="529" t="s">
        <v>326</v>
      </c>
      <c r="H54" s="539"/>
    </row>
    <row r="55" spans="1:10" x14ac:dyDescent="0.25">
      <c r="A55" s="524" t="s">
        <v>335</v>
      </c>
      <c r="B55" s="525"/>
      <c r="C55" s="530" t="s">
        <v>336</v>
      </c>
      <c r="D55" s="531">
        <v>2875.31</v>
      </c>
      <c r="E55" s="529" t="s">
        <v>326</v>
      </c>
    </row>
    <row r="56" spans="1:10" x14ac:dyDescent="0.25">
      <c r="A56" s="524" t="s">
        <v>337</v>
      </c>
      <c r="B56" s="525"/>
      <c r="C56" s="530" t="s">
        <v>338</v>
      </c>
      <c r="D56" s="531">
        <v>7187.69</v>
      </c>
      <c r="E56" s="529" t="s">
        <v>326</v>
      </c>
    </row>
    <row r="57" spans="1:10" x14ac:dyDescent="0.25">
      <c r="A57" s="524" t="s">
        <v>339</v>
      </c>
      <c r="B57" s="525"/>
      <c r="C57" s="530" t="s">
        <v>340</v>
      </c>
      <c r="D57" s="531">
        <v>9591.1200000000008</v>
      </c>
      <c r="E57" s="529" t="s">
        <v>326</v>
      </c>
      <c r="G57" s="633"/>
    </row>
    <row r="58" spans="1:10" x14ac:dyDescent="0.25">
      <c r="A58" s="524" t="s">
        <v>341</v>
      </c>
      <c r="B58" s="525"/>
      <c r="C58" s="530" t="s">
        <v>350</v>
      </c>
      <c r="D58" s="531">
        <v>6351.17</v>
      </c>
      <c r="E58" s="529" t="s">
        <v>326</v>
      </c>
    </row>
    <row r="59" spans="1:10" ht="15.75" thickBot="1" x14ac:dyDescent="0.3">
      <c r="A59" s="740" t="s">
        <v>342</v>
      </c>
      <c r="B59" s="741"/>
      <c r="C59" s="741"/>
      <c r="D59" s="552">
        <f>SUM(D51:D58)/1000</f>
        <v>46.373229999999992</v>
      </c>
      <c r="E59" s="553" t="s">
        <v>18</v>
      </c>
    </row>
    <row r="60" spans="1:10" x14ac:dyDescent="0.25">
      <c r="A60" s="728"/>
      <c r="B60" s="729"/>
      <c r="C60" s="729"/>
      <c r="D60" s="729"/>
      <c r="E60" s="730"/>
    </row>
    <row r="61" spans="1:10" ht="15.75" thickBot="1" x14ac:dyDescent="0.3">
      <c r="A61" s="731"/>
      <c r="B61" s="732"/>
      <c r="C61" s="732"/>
      <c r="D61" s="732"/>
      <c r="E61" s="733"/>
    </row>
    <row r="62" spans="1:10" ht="15.75" thickBot="1" x14ac:dyDescent="0.3">
      <c r="A62" s="734" t="s">
        <v>600</v>
      </c>
      <c r="B62" s="735"/>
      <c r="C62" s="735"/>
      <c r="D62" s="735"/>
      <c r="E62" s="736"/>
    </row>
    <row r="63" spans="1:10" x14ac:dyDescent="0.25">
      <c r="A63" s="737" t="s">
        <v>601</v>
      </c>
      <c r="B63" s="738"/>
      <c r="C63" s="738"/>
      <c r="D63" s="738"/>
      <c r="E63" s="739"/>
    </row>
    <row r="64" spans="1:10" x14ac:dyDescent="0.25">
      <c r="A64" s="524" t="s">
        <v>345</v>
      </c>
      <c r="B64" s="525" t="s">
        <v>324</v>
      </c>
      <c r="C64" s="525" t="s">
        <v>325</v>
      </c>
      <c r="D64" s="525" t="s">
        <v>322</v>
      </c>
      <c r="E64" s="526" t="s">
        <v>252</v>
      </c>
    </row>
    <row r="65" spans="1:5" x14ac:dyDescent="0.25">
      <c r="A65" s="524" t="s">
        <v>327</v>
      </c>
      <c r="B65" s="525"/>
      <c r="C65" s="530" t="s">
        <v>328</v>
      </c>
      <c r="D65" s="574">
        <v>4530.68</v>
      </c>
      <c r="E65" s="529" t="s">
        <v>326</v>
      </c>
    </row>
    <row r="66" spans="1:5" x14ac:dyDescent="0.25">
      <c r="A66" s="524" t="s">
        <v>329</v>
      </c>
      <c r="B66" s="525"/>
      <c r="C66" s="530" t="s">
        <v>330</v>
      </c>
      <c r="D66" s="531">
        <v>4156.1000000000004</v>
      </c>
      <c r="E66" s="529" t="s">
        <v>326</v>
      </c>
    </row>
    <row r="67" spans="1:5" x14ac:dyDescent="0.25">
      <c r="A67" s="524" t="s">
        <v>331</v>
      </c>
      <c r="B67" s="525"/>
      <c r="C67" s="530" t="s">
        <v>332</v>
      </c>
      <c r="D67" s="531">
        <v>3432.53</v>
      </c>
      <c r="E67" s="529" t="s">
        <v>326</v>
      </c>
    </row>
    <row r="68" spans="1:5" x14ac:dyDescent="0.25">
      <c r="A68" s="524" t="s">
        <v>333</v>
      </c>
      <c r="B68" s="525"/>
      <c r="C68" s="530" t="s">
        <v>334</v>
      </c>
      <c r="D68" s="531">
        <v>4035.35</v>
      </c>
      <c r="E68" s="529" t="s">
        <v>326</v>
      </c>
    </row>
    <row r="69" spans="1:5" x14ac:dyDescent="0.25">
      <c r="A69" s="524" t="s">
        <v>335</v>
      </c>
      <c r="B69" s="525"/>
      <c r="C69" s="530" t="s">
        <v>336</v>
      </c>
      <c r="D69" s="531">
        <v>5509.36</v>
      </c>
      <c r="E69" s="529" t="s">
        <v>326</v>
      </c>
    </row>
    <row r="70" spans="1:5" ht="15.75" thickBot="1" x14ac:dyDescent="0.3">
      <c r="A70" s="740" t="s">
        <v>342</v>
      </c>
      <c r="B70" s="741"/>
      <c r="C70" s="741"/>
      <c r="D70" s="552">
        <f>SUM(D65:D69)/1000</f>
        <v>21.664020000000001</v>
      </c>
      <c r="E70" s="553" t="s">
        <v>18</v>
      </c>
    </row>
  </sheetData>
  <mergeCells count="73">
    <mergeCell ref="A30:C30"/>
    <mergeCell ref="K34:N34"/>
    <mergeCell ref="A31:E32"/>
    <mergeCell ref="K35:N35"/>
    <mergeCell ref="A49:E49"/>
    <mergeCell ref="K38:P38"/>
    <mergeCell ref="K40:L41"/>
    <mergeCell ref="K39:L39"/>
    <mergeCell ref="M39:N39"/>
    <mergeCell ref="M40:N40"/>
    <mergeCell ref="M41:N41"/>
    <mergeCell ref="K33:P33"/>
    <mergeCell ref="K43:P43"/>
    <mergeCell ref="K45:P45"/>
    <mergeCell ref="K42:N42"/>
    <mergeCell ref="K44:N44"/>
    <mergeCell ref="G26:I26"/>
    <mergeCell ref="K25:P25"/>
    <mergeCell ref="K27:P27"/>
    <mergeCell ref="G32:I32"/>
    <mergeCell ref="K29:P29"/>
    <mergeCell ref="G25:I25"/>
    <mergeCell ref="K19:P20"/>
    <mergeCell ref="A19:E19"/>
    <mergeCell ref="K21:P21"/>
    <mergeCell ref="A20:E20"/>
    <mergeCell ref="K22:K23"/>
    <mergeCell ref="L22:L23"/>
    <mergeCell ref="M22:N23"/>
    <mergeCell ref="O22:O23"/>
    <mergeCell ref="P22:P23"/>
    <mergeCell ref="G19:I19"/>
    <mergeCell ref="M5:N6"/>
    <mergeCell ref="G18:I18"/>
    <mergeCell ref="K18:N18"/>
    <mergeCell ref="O5:O6"/>
    <mergeCell ref="P5:P6"/>
    <mergeCell ref="K8:P8"/>
    <mergeCell ref="G11:I11"/>
    <mergeCell ref="K10:P10"/>
    <mergeCell ref="G12:I12"/>
    <mergeCell ref="K12:P12"/>
    <mergeCell ref="K16:P16"/>
    <mergeCell ref="K17:N17"/>
    <mergeCell ref="K14:P14"/>
    <mergeCell ref="K46:N46"/>
    <mergeCell ref="A16:C16"/>
    <mergeCell ref="A17:E18"/>
    <mergeCell ref="A2:E2"/>
    <mergeCell ref="G2:I2"/>
    <mergeCell ref="K2:P2"/>
    <mergeCell ref="A3:E3"/>
    <mergeCell ref="G3:I3"/>
    <mergeCell ref="K3:P3"/>
    <mergeCell ref="A4:E4"/>
    <mergeCell ref="G4:I4"/>
    <mergeCell ref="K4:P4"/>
    <mergeCell ref="A5:E5"/>
    <mergeCell ref="G5:I5"/>
    <mergeCell ref="K5:K6"/>
    <mergeCell ref="L5:L6"/>
    <mergeCell ref="A60:E61"/>
    <mergeCell ref="A62:E62"/>
    <mergeCell ref="A63:E63"/>
    <mergeCell ref="A70:C70"/>
    <mergeCell ref="G33:I33"/>
    <mergeCell ref="G39:I39"/>
    <mergeCell ref="A59:C59"/>
    <mergeCell ref="A33:E33"/>
    <mergeCell ref="A34:E34"/>
    <mergeCell ref="A45:C45"/>
    <mergeCell ref="A46:E47"/>
    <mergeCell ref="A48:E48"/>
  </mergeCells>
  <phoneticPr fontId="63" type="noConversion"/>
  <pageMargins left="0.70866141732283472" right="0.70866141732283472" top="0.74803149606299213" bottom="0.74803149606299213" header="0.31496062992125984" footer="0.31496062992125984"/>
  <pageSetup paperSize="9" scale="68" fitToWidth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A11" sqref="A11"/>
    </sheetView>
  </sheetViews>
  <sheetFormatPr defaultColWidth="9.140625" defaultRowHeight="19.5" customHeight="1" x14ac:dyDescent="0.2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 x14ac:dyDescent="0.25">
      <c r="A1" s="825" t="s">
        <v>387</v>
      </c>
      <c r="B1" s="826"/>
    </row>
    <row r="2" spans="1:2" s="101" customFormat="1" ht="19.5" customHeight="1" x14ac:dyDescent="0.2">
      <c r="A2" s="244" t="s">
        <v>201</v>
      </c>
      <c r="B2" s="245" t="s">
        <v>274</v>
      </c>
    </row>
    <row r="3" spans="1:2" ht="19.5" customHeight="1" x14ac:dyDescent="0.2">
      <c r="A3" s="151">
        <v>1</v>
      </c>
      <c r="B3" s="150">
        <v>33.629999999999995</v>
      </c>
    </row>
    <row r="4" spans="1:2" ht="19.5" customHeight="1" x14ac:dyDescent="0.2">
      <c r="A4" s="151">
        <v>2</v>
      </c>
      <c r="B4" s="150">
        <v>43.13</v>
      </c>
    </row>
    <row r="5" spans="1:2" ht="19.5" customHeight="1" x14ac:dyDescent="0.2">
      <c r="A5" s="151">
        <v>3</v>
      </c>
      <c r="B5" s="150">
        <v>48.68</v>
      </c>
    </row>
    <row r="6" spans="1:2" ht="19.5" customHeight="1" x14ac:dyDescent="0.2">
      <c r="A6" s="151">
        <v>4</v>
      </c>
      <c r="B6" s="150">
        <v>52.62</v>
      </c>
    </row>
    <row r="7" spans="1:2" ht="19.5" customHeight="1" x14ac:dyDescent="0.2">
      <c r="A7" s="151">
        <v>5</v>
      </c>
      <c r="B7" s="150">
        <v>55.679999999999993</v>
      </c>
    </row>
    <row r="8" spans="1:2" ht="19.5" customHeight="1" x14ac:dyDescent="0.2">
      <c r="A8" s="151">
        <v>6</v>
      </c>
      <c r="B8" s="150">
        <v>58.18</v>
      </c>
    </row>
    <row r="9" spans="1:2" ht="19.5" customHeight="1" x14ac:dyDescent="0.2">
      <c r="A9" s="151">
        <v>7</v>
      </c>
      <c r="B9" s="150">
        <v>60.29</v>
      </c>
    </row>
    <row r="10" spans="1:2" ht="19.5" customHeight="1" x14ac:dyDescent="0.2">
      <c r="A10" s="151">
        <v>8</v>
      </c>
      <c r="B10" s="150">
        <v>62.12</v>
      </c>
    </row>
    <row r="11" spans="1:2" ht="19.5" customHeight="1" x14ac:dyDescent="0.2">
      <c r="A11" s="151">
        <v>9</v>
      </c>
      <c r="B11" s="150">
        <v>63.73</v>
      </c>
    </row>
    <row r="12" spans="1:2" ht="19.5" customHeight="1" x14ac:dyDescent="0.2">
      <c r="A12" s="151">
        <v>10</v>
      </c>
      <c r="B12" s="150">
        <v>65.180000000000007</v>
      </c>
    </row>
    <row r="13" spans="1:2" ht="19.5" customHeight="1" x14ac:dyDescent="0.2">
      <c r="A13" s="151">
        <v>11</v>
      </c>
      <c r="B13" s="150">
        <v>66.47999999999999</v>
      </c>
    </row>
    <row r="14" spans="1:2" ht="19.5" customHeight="1" x14ac:dyDescent="0.2">
      <c r="A14" s="151">
        <v>12</v>
      </c>
      <c r="B14" s="150">
        <v>67.67</v>
      </c>
    </row>
    <row r="15" spans="1:2" ht="19.5" customHeight="1" x14ac:dyDescent="0.2">
      <c r="A15" s="151">
        <v>13</v>
      </c>
      <c r="B15" s="150">
        <v>68.77</v>
      </c>
    </row>
    <row r="16" spans="1:2" ht="19.5" customHeight="1" x14ac:dyDescent="0.2">
      <c r="A16" s="151">
        <v>14</v>
      </c>
      <c r="B16" s="150">
        <v>69.789999999999992</v>
      </c>
    </row>
    <row r="17" spans="1:2" ht="19.5" customHeight="1" thickBot="1" x14ac:dyDescent="0.25">
      <c r="A17" s="152">
        <v>15</v>
      </c>
      <c r="B17" s="153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11" sqref="A11"/>
    </sheetView>
  </sheetViews>
  <sheetFormatPr defaultColWidth="9.140625" defaultRowHeight="12.75" x14ac:dyDescent="0.2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 x14ac:dyDescent="0.25">
      <c r="A1" s="228" t="s">
        <v>388</v>
      </c>
    </row>
    <row r="2" spans="1:1" x14ac:dyDescent="0.2">
      <c r="A2" s="225"/>
    </row>
    <row r="3" spans="1:1" x14ac:dyDescent="0.2">
      <c r="A3" s="225" t="s">
        <v>239</v>
      </c>
    </row>
    <row r="4" spans="1:1" x14ac:dyDescent="0.2">
      <c r="A4" s="225"/>
    </row>
    <row r="5" spans="1:1" x14ac:dyDescent="0.2">
      <c r="A5" s="225"/>
    </row>
    <row r="6" spans="1:1" x14ac:dyDescent="0.2">
      <c r="A6" s="225"/>
    </row>
    <row r="7" spans="1:1" x14ac:dyDescent="0.2">
      <c r="A7" s="225"/>
    </row>
    <row r="8" spans="1:1" x14ac:dyDescent="0.2">
      <c r="A8" s="225"/>
    </row>
    <row r="9" spans="1:1" x14ac:dyDescent="0.2">
      <c r="A9" s="225"/>
    </row>
    <row r="10" spans="1:1" x14ac:dyDescent="0.2">
      <c r="A10" s="225"/>
    </row>
    <row r="11" spans="1:1" x14ac:dyDescent="0.2">
      <c r="A11" s="225"/>
    </row>
    <row r="12" spans="1:1" ht="19.5" x14ac:dyDescent="0.35">
      <c r="A12" s="226" t="s">
        <v>221</v>
      </c>
    </row>
    <row r="13" spans="1:1" ht="15" x14ac:dyDescent="0.2">
      <c r="A13" s="226" t="s">
        <v>104</v>
      </c>
    </row>
    <row r="14" spans="1:1" ht="15" x14ac:dyDescent="0.2">
      <c r="A14" s="226" t="s">
        <v>108</v>
      </c>
    </row>
    <row r="15" spans="1:1" ht="19.5" x14ac:dyDescent="0.35">
      <c r="A15" s="226" t="s">
        <v>222</v>
      </c>
    </row>
    <row r="16" spans="1:1" ht="19.5" x14ac:dyDescent="0.35">
      <c r="A16" s="226" t="s">
        <v>223</v>
      </c>
    </row>
    <row r="17" spans="1:1" ht="15.75" thickBot="1" x14ac:dyDescent="0.25">
      <c r="A17" s="227" t="s">
        <v>105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7" workbookViewId="0">
      <selection activeCell="A11" sqref="A11"/>
    </sheetView>
  </sheetViews>
  <sheetFormatPr defaultColWidth="9.140625" defaultRowHeight="12.75" x14ac:dyDescent="0.2"/>
  <cols>
    <col min="1" max="1" width="58.28515625" style="254" customWidth="1"/>
    <col min="2" max="2" width="11.140625" style="254" bestFit="1" customWidth="1"/>
    <col min="3" max="3" width="13.28515625" style="254" bestFit="1" customWidth="1"/>
    <col min="4" max="16384" width="9.140625" style="254"/>
  </cols>
  <sheetData>
    <row r="1" spans="1:7" hidden="1" x14ac:dyDescent="0.2">
      <c r="A1" s="11" t="s">
        <v>192</v>
      </c>
    </row>
    <row r="2" spans="1:7" hidden="1" x14ac:dyDescent="0.2">
      <c r="A2" s="259" t="s">
        <v>251</v>
      </c>
    </row>
    <row r="3" spans="1:7" hidden="1" x14ac:dyDescent="0.2">
      <c r="A3" s="259" t="s">
        <v>275</v>
      </c>
    </row>
    <row r="4" spans="1:7" hidden="1" x14ac:dyDescent="0.2">
      <c r="A4" s="7" t="s">
        <v>273</v>
      </c>
    </row>
    <row r="5" spans="1:7" hidden="1" x14ac:dyDescent="0.2">
      <c r="A5" s="7"/>
    </row>
    <row r="6" spans="1:7" s="4" customFormat="1" ht="15.6" hidden="1" customHeight="1" x14ac:dyDescent="0.2">
      <c r="A6" s="276" t="s">
        <v>284</v>
      </c>
      <c r="B6" s="5"/>
      <c r="C6" s="5"/>
      <c r="D6" s="5"/>
      <c r="E6" s="5"/>
      <c r="F6" s="5"/>
      <c r="G6" s="6"/>
    </row>
    <row r="7" spans="1:7" s="4" customFormat="1" ht="16.5" customHeight="1" x14ac:dyDescent="0.2">
      <c r="A7" s="304" t="s">
        <v>291</v>
      </c>
      <c r="B7" s="5"/>
      <c r="C7" s="5"/>
      <c r="D7" s="6"/>
      <c r="E7" s="6"/>
      <c r="F7" s="6"/>
      <c r="G7" s="6"/>
    </row>
    <row r="8" spans="1:7" s="4" customFormat="1" ht="16.5" customHeight="1" x14ac:dyDescent="0.2">
      <c r="A8" s="304" t="s">
        <v>292</v>
      </c>
      <c r="B8" s="5"/>
      <c r="C8" s="5"/>
      <c r="D8" s="6"/>
      <c r="E8" s="6"/>
      <c r="F8" s="6"/>
      <c r="G8" s="6"/>
    </row>
    <row r="9" spans="1:7" ht="13.5" thickBot="1" x14ac:dyDescent="0.25"/>
    <row r="10" spans="1:7" ht="18" x14ac:dyDescent="0.25">
      <c r="A10" s="827" t="s">
        <v>389</v>
      </c>
      <c r="B10" s="828"/>
      <c r="C10" s="829"/>
    </row>
    <row r="11" spans="1:7" ht="18" x14ac:dyDescent="0.25">
      <c r="A11" s="272"/>
      <c r="B11" s="271"/>
      <c r="C11" s="273"/>
    </row>
    <row r="12" spans="1:7" s="101" customFormat="1" ht="15" x14ac:dyDescent="0.25">
      <c r="A12" s="260" t="s">
        <v>270</v>
      </c>
      <c r="B12" s="261" t="s">
        <v>252</v>
      </c>
      <c r="C12" s="262" t="s">
        <v>133</v>
      </c>
    </row>
    <row r="13" spans="1:7" ht="14.25" x14ac:dyDescent="0.2">
      <c r="A13" s="183" t="s">
        <v>617</v>
      </c>
      <c r="B13" s="263" t="s">
        <v>253</v>
      </c>
      <c r="C13" s="650">
        <v>24973</v>
      </c>
    </row>
    <row r="14" spans="1:7" ht="14.25" x14ac:dyDescent="0.2">
      <c r="A14" s="183" t="s">
        <v>260</v>
      </c>
      <c r="B14" s="263" t="s">
        <v>258</v>
      </c>
      <c r="C14" s="264">
        <v>0.61599999999999999</v>
      </c>
    </row>
    <row r="15" spans="1:7" ht="14.25" x14ac:dyDescent="0.2">
      <c r="A15" s="183" t="s">
        <v>261</v>
      </c>
      <c r="B15" s="263" t="s">
        <v>259</v>
      </c>
      <c r="C15" s="265">
        <f>C13*C14/1000</f>
        <v>15.383368000000001</v>
      </c>
    </row>
    <row r="16" spans="1:7" ht="14.25" x14ac:dyDescent="0.2">
      <c r="A16" s="183" t="s">
        <v>267</v>
      </c>
      <c r="B16" s="263" t="s">
        <v>254</v>
      </c>
      <c r="C16" s="266">
        <f>(C15*30)</f>
        <v>461.50104000000005</v>
      </c>
    </row>
    <row r="17" spans="1:3" ht="14.25" x14ac:dyDescent="0.2">
      <c r="A17" s="183" t="s">
        <v>263</v>
      </c>
      <c r="B17" s="263" t="s">
        <v>91</v>
      </c>
      <c r="C17" s="269">
        <v>6</v>
      </c>
    </row>
    <row r="18" spans="1:3" ht="14.25" x14ac:dyDescent="0.2">
      <c r="A18" s="183" t="s">
        <v>262</v>
      </c>
      <c r="B18" s="263" t="s">
        <v>259</v>
      </c>
      <c r="C18" s="265">
        <f>IFERROR(C15*7/C17,0)</f>
        <v>17.947262666666667</v>
      </c>
    </row>
    <row r="19" spans="1:3" ht="14.25" x14ac:dyDescent="0.2">
      <c r="A19" s="183" t="s">
        <v>255</v>
      </c>
      <c r="B19" s="263" t="s">
        <v>256</v>
      </c>
      <c r="C19" s="206">
        <v>500</v>
      </c>
    </row>
    <row r="20" spans="1:3" ht="14.25" x14ac:dyDescent="0.2">
      <c r="A20" s="183" t="s">
        <v>268</v>
      </c>
      <c r="B20" s="263"/>
      <c r="C20" s="184">
        <v>2</v>
      </c>
    </row>
    <row r="21" spans="1:3" ht="14.25" x14ac:dyDescent="0.2">
      <c r="A21" s="183" t="s">
        <v>269</v>
      </c>
      <c r="B21" s="263" t="s">
        <v>257</v>
      </c>
      <c r="C21" s="184">
        <v>15</v>
      </c>
    </row>
    <row r="22" spans="1:3" ht="14.25" x14ac:dyDescent="0.2">
      <c r="A22" s="183" t="s">
        <v>264</v>
      </c>
      <c r="B22" s="263" t="s">
        <v>254</v>
      </c>
      <c r="C22" s="266">
        <f>IF(AND(C21&gt;=15,C20=1),5.8,C21/2)</f>
        <v>7.5</v>
      </c>
    </row>
    <row r="23" spans="1:3" ht="14.25" x14ac:dyDescent="0.2">
      <c r="A23" s="183" t="s">
        <v>265</v>
      </c>
      <c r="B23" s="263"/>
      <c r="C23" s="265">
        <v>3</v>
      </c>
    </row>
    <row r="24" spans="1:3" ht="14.25" x14ac:dyDescent="0.2">
      <c r="A24" s="183" t="s">
        <v>271</v>
      </c>
      <c r="B24" s="263"/>
      <c r="C24" s="269">
        <v>1.5</v>
      </c>
    </row>
    <row r="25" spans="1:3" ht="15" thickBot="1" x14ac:dyDescent="0.25">
      <c r="A25" s="267" t="s">
        <v>266</v>
      </c>
      <c r="B25" s="268"/>
      <c r="C25" s="270">
        <f>IFERROR(C23/C24,0)</f>
        <v>2</v>
      </c>
    </row>
    <row r="26" spans="1:3" ht="14.25" x14ac:dyDescent="0.2">
      <c r="A26" s="135"/>
      <c r="B26" s="135"/>
      <c r="C26" s="284"/>
    </row>
    <row r="27" spans="1:3" ht="14.25" x14ac:dyDescent="0.2">
      <c r="A27" s="135" t="s">
        <v>295</v>
      </c>
    </row>
    <row r="28" spans="1:3" x14ac:dyDescent="0.2">
      <c r="A28" s="254" t="s">
        <v>296</v>
      </c>
    </row>
    <row r="29" spans="1:3" x14ac:dyDescent="0.2">
      <c r="A29" s="254" t="s">
        <v>297</v>
      </c>
    </row>
    <row r="30" spans="1:3" x14ac:dyDescent="0.2">
      <c r="A30" s="254" t="s">
        <v>293</v>
      </c>
    </row>
    <row r="31" spans="1:3" x14ac:dyDescent="0.2">
      <c r="A31" s="254" t="s">
        <v>298</v>
      </c>
    </row>
    <row r="32" spans="1:3" x14ac:dyDescent="0.2">
      <c r="A32" s="254" t="s">
        <v>299</v>
      </c>
    </row>
    <row r="33" spans="1:1" x14ac:dyDescent="0.2">
      <c r="A33" s="254" t="s">
        <v>300</v>
      </c>
    </row>
    <row r="34" spans="1:1" x14ac:dyDescent="0.2">
      <c r="A34" s="254" t="s">
        <v>301</v>
      </c>
    </row>
    <row r="35" spans="1:1" x14ac:dyDescent="0.2">
      <c r="A35" s="254" t="s">
        <v>294</v>
      </c>
    </row>
  </sheetData>
  <mergeCells count="1">
    <mergeCell ref="A10:C10"/>
  </mergeCells>
  <conditionalFormatting sqref="C22">
    <cfRule type="expression" dxfId="0" priority="1">
      <formula>"SE(E(C20&gt;=15;C19=1))"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6"/>
  <sheetViews>
    <sheetView topLeftCell="A249" zoomScaleSheetLayoutView="100" workbookViewId="0">
      <selection activeCell="A11" sqref="A11"/>
    </sheetView>
  </sheetViews>
  <sheetFormatPr defaultColWidth="9.140625" defaultRowHeight="12.75" x14ac:dyDescent="0.2"/>
  <cols>
    <col min="1" max="1" width="44.5703125" style="9" customWidth="1"/>
    <col min="2" max="2" width="16" style="9" bestFit="1" customWidth="1"/>
    <col min="3" max="3" width="11.85546875" style="9" customWidth="1"/>
    <col min="4" max="4" width="14.7109375" style="10" customWidth="1"/>
    <col min="5" max="5" width="15.42578125" style="10" customWidth="1"/>
    <col min="6" max="6" width="13.28515625" style="10" customWidth="1"/>
    <col min="7" max="7" width="13.5703125" style="10" customWidth="1"/>
    <col min="8" max="8" width="9.140625" style="9"/>
    <col min="9" max="9" width="14.5703125" style="9" customWidth="1"/>
    <col min="10" max="10" width="13.42578125" style="9" customWidth="1"/>
    <col min="11" max="16384" width="9.140625" style="9"/>
  </cols>
  <sheetData>
    <row r="1" spans="1:7" ht="15.75" hidden="1" x14ac:dyDescent="0.2">
      <c r="A1" s="53" t="s">
        <v>192</v>
      </c>
    </row>
    <row r="2" spans="1:7" ht="15.75" hidden="1" x14ac:dyDescent="0.2">
      <c r="A2" s="304" t="s">
        <v>276</v>
      </c>
    </row>
    <row r="3" spans="1:7" ht="15.75" hidden="1" x14ac:dyDescent="0.2">
      <c r="A3" s="304" t="s">
        <v>277</v>
      </c>
    </row>
    <row r="4" spans="1:7" ht="15.75" hidden="1" x14ac:dyDescent="0.2">
      <c r="A4" s="304" t="s">
        <v>279</v>
      </c>
    </row>
    <row r="5" spans="1:7" s="4" customFormat="1" ht="15.6" hidden="1" customHeight="1" x14ac:dyDescent="0.2">
      <c r="A5" s="53" t="s">
        <v>273</v>
      </c>
      <c r="C5" s="5"/>
      <c r="D5" s="5"/>
      <c r="E5" s="5"/>
      <c r="F5" s="5"/>
      <c r="G5" s="6"/>
    </row>
    <row r="6" spans="1:7" s="4" customFormat="1" ht="15.6" hidden="1" customHeight="1" x14ac:dyDescent="0.2">
      <c r="A6" s="275" t="s">
        <v>278</v>
      </c>
      <c r="B6" s="5"/>
      <c r="C6" s="5"/>
      <c r="D6" s="5"/>
      <c r="E6" s="5"/>
      <c r="F6" s="5"/>
      <c r="G6" s="6"/>
    </row>
    <row r="7" spans="1:7" s="4" customFormat="1" ht="15.6" hidden="1" customHeight="1" x14ac:dyDescent="0.2">
      <c r="A7" s="7"/>
      <c r="B7" s="5"/>
      <c r="C7" s="5"/>
      <c r="D7" s="5"/>
      <c r="E7" s="5"/>
      <c r="F7" s="5"/>
      <c r="G7" s="6"/>
    </row>
    <row r="8" spans="1:7" s="4" customFormat="1" ht="15.6" hidden="1" customHeight="1" x14ac:dyDescent="0.2">
      <c r="A8" s="276" t="s">
        <v>284</v>
      </c>
      <c r="B8" s="5"/>
      <c r="C8" s="5"/>
      <c r="D8" s="5"/>
      <c r="E8" s="5"/>
      <c r="F8" s="5"/>
      <c r="G8" s="6"/>
    </row>
    <row r="9" spans="1:7" s="4" customFormat="1" ht="15.6" hidden="1" customHeight="1" x14ac:dyDescent="0.2">
      <c r="A9" s="304" t="s">
        <v>281</v>
      </c>
      <c r="B9" s="5"/>
      <c r="C9" s="5"/>
      <c r="D9" s="5"/>
      <c r="E9" s="5"/>
      <c r="F9" s="5"/>
      <c r="G9" s="6"/>
    </row>
    <row r="10" spans="1:7" s="4" customFormat="1" ht="16.5" hidden="1" customHeight="1" x14ac:dyDescent="0.2">
      <c r="A10" s="7"/>
      <c r="B10" s="5"/>
      <c r="C10" s="5"/>
      <c r="D10" s="6"/>
      <c r="E10" s="6"/>
      <c r="F10" s="6"/>
      <c r="G10" s="6"/>
    </row>
    <row r="11" spans="1:7" s="4" customFormat="1" ht="16.5" customHeight="1" thickBot="1" x14ac:dyDescent="0.25">
      <c r="A11" s="138" t="s">
        <v>504</v>
      </c>
      <c r="B11" s="5"/>
      <c r="C11" s="5"/>
      <c r="D11" s="6"/>
      <c r="E11" s="6"/>
      <c r="F11" s="6"/>
      <c r="G11" s="6"/>
    </row>
    <row r="12" spans="1:7" s="8" customFormat="1" ht="18" x14ac:dyDescent="0.2">
      <c r="A12" s="655" t="s">
        <v>444</v>
      </c>
      <c r="B12" s="656"/>
      <c r="C12" s="656"/>
      <c r="D12" s="656"/>
      <c r="E12" s="656"/>
      <c r="F12" s="657"/>
      <c r="G12" s="35"/>
    </row>
    <row r="13" spans="1:7" s="8" customFormat="1" ht="21.75" customHeight="1" x14ac:dyDescent="0.2">
      <c r="A13" s="658" t="s">
        <v>45</v>
      </c>
      <c r="B13" s="659"/>
      <c r="C13" s="659"/>
      <c r="D13" s="659"/>
      <c r="E13" s="659"/>
      <c r="F13" s="660"/>
      <c r="G13" s="35"/>
    </row>
    <row r="14" spans="1:7" s="4" customFormat="1" ht="10.9" customHeight="1" thickBot="1" x14ac:dyDescent="0.25">
      <c r="A14" s="139"/>
      <c r="B14" s="5"/>
      <c r="C14" s="5"/>
      <c r="D14" s="140"/>
      <c r="E14" s="140"/>
      <c r="F14" s="141"/>
      <c r="G14" s="6"/>
    </row>
    <row r="15" spans="1:7" s="4" customFormat="1" ht="15.75" customHeight="1" thickBot="1" x14ac:dyDescent="0.25">
      <c r="A15" s="664" t="s">
        <v>191</v>
      </c>
      <c r="B15" s="665"/>
      <c r="C15" s="665"/>
      <c r="D15" s="665"/>
      <c r="E15" s="665"/>
      <c r="F15" s="666"/>
      <c r="G15" s="6"/>
    </row>
    <row r="16" spans="1:7" s="4" customFormat="1" ht="15.75" customHeight="1" x14ac:dyDescent="0.2">
      <c r="A16" s="61" t="s">
        <v>190</v>
      </c>
      <c r="B16" s="39"/>
      <c r="C16" s="39"/>
      <c r="D16" s="239"/>
      <c r="E16" s="108" t="s">
        <v>40</v>
      </c>
      <c r="F16" s="40" t="s">
        <v>2</v>
      </c>
      <c r="G16" s="6"/>
    </row>
    <row r="17" spans="1:7" s="11" customFormat="1" ht="15.75" customHeight="1" x14ac:dyDescent="0.2">
      <c r="A17" s="117" t="str">
        <f>A56</f>
        <v>1. Mão-de-obra</v>
      </c>
      <c r="B17" s="118"/>
      <c r="C17" s="119"/>
      <c r="D17" s="119"/>
      <c r="E17" s="236">
        <f>+F154</f>
        <v>12496.857265657394</v>
      </c>
      <c r="F17" s="120">
        <f>IFERROR(E17/$E$39,0)</f>
        <v>0.45767703422336437</v>
      </c>
      <c r="G17" s="43"/>
    </row>
    <row r="18" spans="1:7" s="4" customFormat="1" ht="15.75" hidden="1" customHeight="1" x14ac:dyDescent="0.2">
      <c r="A18" s="48" t="str">
        <f>A58</f>
        <v>1.1. Coletor Turno Dia</v>
      </c>
      <c r="B18" s="44"/>
      <c r="C18" s="46"/>
      <c r="D18" s="46"/>
      <c r="E18" s="237">
        <f>F69</f>
        <v>0</v>
      </c>
      <c r="F18" s="55">
        <f>IFERROR(E18/$E$39,0)</f>
        <v>0</v>
      </c>
      <c r="G18" s="6"/>
    </row>
    <row r="19" spans="1:7" s="4" customFormat="1" ht="15.75" customHeight="1" x14ac:dyDescent="0.2">
      <c r="A19" s="48" t="str">
        <f>A71</f>
        <v>1.1. Coletor Turno Dia</v>
      </c>
      <c r="B19" s="44"/>
      <c r="C19" s="46"/>
      <c r="D19" s="46"/>
      <c r="E19" s="237">
        <f>F88</f>
        <v>8015.9811465888015</v>
      </c>
      <c r="F19" s="55">
        <f t="shared" ref="F19:F38" si="0">IFERROR(E19/$E$39,0)</f>
        <v>0.29357224777170199</v>
      </c>
      <c r="G19" s="6"/>
    </row>
    <row r="20" spans="1:7" s="4" customFormat="1" ht="15.75" customHeight="1" x14ac:dyDescent="0.2">
      <c r="A20" s="48" t="str">
        <f>A90</f>
        <v>1.2. Encarregado/Supervisor</v>
      </c>
      <c r="B20" s="44"/>
      <c r="C20" s="46"/>
      <c r="D20" s="46"/>
      <c r="E20" s="237">
        <f>F103</f>
        <v>276.68197733400001</v>
      </c>
      <c r="F20" s="55">
        <f t="shared" si="0"/>
        <v>1.0133026577592096E-2</v>
      </c>
      <c r="G20" s="6"/>
    </row>
    <row r="21" spans="1:7" s="4" customFormat="1" ht="15.75" customHeight="1" x14ac:dyDescent="0.2">
      <c r="A21" s="48" t="str">
        <f>A106</f>
        <v>1.3. Motorista Turno do Dia</v>
      </c>
      <c r="B21" s="44"/>
      <c r="C21" s="46"/>
      <c r="D21" s="46"/>
      <c r="E21" s="237">
        <f>F125</f>
        <v>3094.0385388255008</v>
      </c>
      <c r="F21" s="55">
        <f t="shared" si="0"/>
        <v>0.11331411987187764</v>
      </c>
      <c r="G21" s="6"/>
    </row>
    <row r="22" spans="1:7" s="4" customFormat="1" ht="15.75" customHeight="1" x14ac:dyDescent="0.2">
      <c r="A22" s="48" t="str">
        <f>A127</f>
        <v>1.4. Vale Transporte</v>
      </c>
      <c r="B22" s="44"/>
      <c r="C22" s="46"/>
      <c r="D22" s="46"/>
      <c r="E22" s="237">
        <f>F133</f>
        <v>58.400512000000028</v>
      </c>
      <c r="F22" s="55">
        <f t="shared" si="0"/>
        <v>2.1388235906909803E-3</v>
      </c>
      <c r="G22" s="6"/>
    </row>
    <row r="23" spans="1:7" s="4" customFormat="1" ht="15.75" customHeight="1" x14ac:dyDescent="0.2">
      <c r="A23" s="48" t="str">
        <f>A135</f>
        <v>1.5. Vale-refeição (diário)</v>
      </c>
      <c r="B23" s="44"/>
      <c r="C23" s="46"/>
      <c r="D23" s="46"/>
      <c r="E23" s="237">
        <f>F140</f>
        <v>981.25800000000015</v>
      </c>
      <c r="F23" s="55">
        <f t="shared" si="0"/>
        <v>3.5936975329158918E-2</v>
      </c>
      <c r="G23" s="6"/>
    </row>
    <row r="24" spans="1:7" s="4" customFormat="1" ht="15.75" customHeight="1" x14ac:dyDescent="0.2">
      <c r="A24" s="48" t="str">
        <f>A142</f>
        <v>1.6. Auxílio Alimentação (mensal)</v>
      </c>
      <c r="B24" s="44"/>
      <c r="C24" s="46"/>
      <c r="D24" s="46"/>
      <c r="E24" s="237">
        <f>F146</f>
        <v>32.707999999999998</v>
      </c>
      <c r="F24" s="55">
        <f t="shared" si="0"/>
        <v>1.1978772036163065E-3</v>
      </c>
      <c r="G24" s="6"/>
    </row>
    <row r="25" spans="1:7" s="4" customFormat="1" ht="15.75" customHeight="1" x14ac:dyDescent="0.2">
      <c r="A25" s="48" t="str">
        <f>A148</f>
        <v xml:space="preserve">1.7. Plano de Benefício Social  </v>
      </c>
      <c r="B25" s="44"/>
      <c r="C25" s="46"/>
      <c r="D25" s="46"/>
      <c r="E25" s="237">
        <f>F152</f>
        <v>37.789090909090909</v>
      </c>
      <c r="F25" s="55">
        <f t="shared" si="0"/>
        <v>1.3839638787264343E-3</v>
      </c>
      <c r="G25" s="6"/>
    </row>
    <row r="26" spans="1:7" s="11" customFormat="1" ht="15.75" customHeight="1" x14ac:dyDescent="0.2">
      <c r="A26" s="653" t="str">
        <f>A156</f>
        <v>2. Uniformes e Equipamentos de Proteção Individual</v>
      </c>
      <c r="B26" s="654"/>
      <c r="C26" s="654"/>
      <c r="D26" s="119"/>
      <c r="E26" s="236">
        <f>+F188</f>
        <v>249.4223484848485</v>
      </c>
      <c r="F26" s="120">
        <f t="shared" si="0"/>
        <v>9.1346870894717571E-3</v>
      </c>
      <c r="G26" s="43"/>
    </row>
    <row r="27" spans="1:7" s="11" customFormat="1" ht="15.75" customHeight="1" x14ac:dyDescent="0.2">
      <c r="A27" s="128" t="str">
        <f>A190</f>
        <v>3. Veículos e Equipamentos</v>
      </c>
      <c r="B27" s="129"/>
      <c r="C27" s="119"/>
      <c r="D27" s="119"/>
      <c r="E27" s="236">
        <f>+F271</f>
        <v>9131.4428583715253</v>
      </c>
      <c r="F27" s="120">
        <f t="shared" si="0"/>
        <v>0.33442421536529826</v>
      </c>
      <c r="G27" s="43"/>
    </row>
    <row r="28" spans="1:7" s="4" customFormat="1" ht="15.75" customHeight="1" x14ac:dyDescent="0.2">
      <c r="A28" s="62" t="str">
        <f>A192</f>
        <v>3.1. Veículo Coletor com compactador</v>
      </c>
      <c r="B28" s="45"/>
      <c r="C28" s="46"/>
      <c r="D28" s="46"/>
      <c r="E28" s="237">
        <f>SUM(E29:E34)</f>
        <v>9131.4428583715253</v>
      </c>
      <c r="F28" s="134">
        <f t="shared" si="0"/>
        <v>0.33442421536529826</v>
      </c>
      <c r="G28" s="6"/>
    </row>
    <row r="29" spans="1:7" s="4" customFormat="1" ht="15.75" customHeight="1" x14ac:dyDescent="0.2">
      <c r="A29" s="62" t="str">
        <f>A194</f>
        <v>3.1.1. Depreciação</v>
      </c>
      <c r="B29" s="45"/>
      <c r="C29" s="46"/>
      <c r="D29" s="46"/>
      <c r="E29" s="237">
        <f>F209</f>
        <v>1429.8481197000001</v>
      </c>
      <c r="F29" s="134">
        <f t="shared" si="0"/>
        <v>5.2365857503432499E-2</v>
      </c>
      <c r="G29" s="6"/>
    </row>
    <row r="30" spans="1:7" s="4" customFormat="1" ht="15.75" customHeight="1" x14ac:dyDescent="0.2">
      <c r="A30" s="62" t="str">
        <f>A211</f>
        <v>3.1.2. Remuneração do Capital</v>
      </c>
      <c r="B30" s="45"/>
      <c r="C30" s="46"/>
      <c r="D30" s="46"/>
      <c r="E30" s="237">
        <f>F226</f>
        <v>1550.2598461350003</v>
      </c>
      <c r="F30" s="134">
        <f t="shared" si="0"/>
        <v>5.6775740778000482E-2</v>
      </c>
      <c r="G30" s="6"/>
    </row>
    <row r="31" spans="1:7" s="4" customFormat="1" ht="15.75" customHeight="1" x14ac:dyDescent="0.2">
      <c r="A31" s="62" t="str">
        <f>A228</f>
        <v>3.1.3. Impostos e Seguros</v>
      </c>
      <c r="B31" s="45"/>
      <c r="C31" s="46"/>
      <c r="D31" s="46"/>
      <c r="E31" s="237">
        <f>F234</f>
        <v>298.6408996666666</v>
      </c>
      <c r="F31" s="134">
        <f t="shared" si="0"/>
        <v>1.0937236326836387E-2</v>
      </c>
      <c r="G31" s="6"/>
    </row>
    <row r="32" spans="1:7" s="4" customFormat="1" ht="15.75" customHeight="1" x14ac:dyDescent="0.2">
      <c r="A32" s="62" t="str">
        <f>A236</f>
        <v>3.1.4. Consumos</v>
      </c>
      <c r="B32" s="45"/>
      <c r="C32" s="46"/>
      <c r="D32" s="46"/>
      <c r="E32" s="237">
        <f>F254</f>
        <v>4537.30034898343</v>
      </c>
      <c r="F32" s="134">
        <f t="shared" si="0"/>
        <v>0.16617123193125727</v>
      </c>
      <c r="G32" s="6"/>
    </row>
    <row r="33" spans="1:9" s="4" customFormat="1" ht="15.75" customHeight="1" x14ac:dyDescent="0.2">
      <c r="A33" s="62" t="str">
        <f>A256</f>
        <v>3.1.5. Manutenção</v>
      </c>
      <c r="B33" s="45"/>
      <c r="C33" s="46"/>
      <c r="D33" s="46"/>
      <c r="E33" s="237">
        <f>F259</f>
        <v>880.42411285714286</v>
      </c>
      <c r="F33" s="134">
        <f t="shared" si="0"/>
        <v>3.2244098517356053E-2</v>
      </c>
      <c r="G33" s="6"/>
    </row>
    <row r="34" spans="1:9" s="4" customFormat="1" ht="15.75" customHeight="1" x14ac:dyDescent="0.2">
      <c r="A34" s="62" t="str">
        <f>A261</f>
        <v>3.1.6. Pneus</v>
      </c>
      <c r="B34" s="45"/>
      <c r="C34" s="46"/>
      <c r="D34" s="46"/>
      <c r="E34" s="237">
        <f>F268</f>
        <v>434.96953102928569</v>
      </c>
      <c r="F34" s="134">
        <f t="shared" si="0"/>
        <v>1.5930050308415586E-2</v>
      </c>
      <c r="G34" s="6"/>
    </row>
    <row r="35" spans="1:9" s="11" customFormat="1" ht="15.75" customHeight="1" x14ac:dyDescent="0.2">
      <c r="A35" s="128" t="str">
        <f>A273</f>
        <v xml:space="preserve">4. Ferramentas, Materiais de Consumo </v>
      </c>
      <c r="B35" s="129"/>
      <c r="C35" s="119"/>
      <c r="D35" s="119"/>
      <c r="E35" s="236">
        <f>+F281</f>
        <v>15.351666666666667</v>
      </c>
      <c r="F35" s="120">
        <f t="shared" si="0"/>
        <v>5.6222977673707757E-4</v>
      </c>
      <c r="G35" s="43"/>
    </row>
    <row r="36" spans="1:9" s="11" customFormat="1" ht="15.75" customHeight="1" x14ac:dyDescent="0.2">
      <c r="A36" s="128" t="str">
        <f>A283</f>
        <v xml:space="preserve">5. Administração Local </v>
      </c>
      <c r="B36" s="129"/>
      <c r="C36" s="119"/>
      <c r="D36" s="119"/>
      <c r="E36" s="236">
        <f>F293</f>
        <v>492.5</v>
      </c>
      <c r="F36" s="120">
        <f t="shared" si="0"/>
        <v>1.8037009990859453E-2</v>
      </c>
      <c r="G36" s="43"/>
    </row>
    <row r="37" spans="1:9" s="11" customFormat="1" ht="15.75" customHeight="1" x14ac:dyDescent="0.2">
      <c r="A37" s="128" t="str">
        <f>A295</f>
        <v>6. Monitoramento da Frota</v>
      </c>
      <c r="B37" s="129"/>
      <c r="C37" s="119"/>
      <c r="D37" s="119"/>
      <c r="E37" s="236">
        <f>+F304</f>
        <v>78.406999999999996</v>
      </c>
      <c r="F37" s="120">
        <f t="shared" si="0"/>
        <v>2.8715286139153647E-3</v>
      </c>
      <c r="G37" s="43"/>
    </row>
    <row r="38" spans="1:9" s="11" customFormat="1" ht="15.75" customHeight="1" thickBot="1" x14ac:dyDescent="0.25">
      <c r="A38" s="128" t="str">
        <f>A308</f>
        <v>7. Benefícios e Despesas Indiretas - BDI</v>
      </c>
      <c r="B38" s="129"/>
      <c r="C38" s="119"/>
      <c r="D38" s="119"/>
      <c r="E38" s="238">
        <f>+F314</f>
        <v>4840.9879354933837</v>
      </c>
      <c r="F38" s="120">
        <f t="shared" si="0"/>
        <v>0.17729329494035379</v>
      </c>
      <c r="G38" s="43"/>
    </row>
    <row r="39" spans="1:9" s="4" customFormat="1" ht="15.75" customHeight="1" thickBot="1" x14ac:dyDescent="0.25">
      <c r="A39" s="41" t="s">
        <v>228</v>
      </c>
      <c r="B39" s="42"/>
      <c r="C39" s="26"/>
      <c r="D39" s="26"/>
      <c r="E39" s="107">
        <f>E17+E26+E27+E35+E37+E38+E36</f>
        <v>27304.969074673816</v>
      </c>
      <c r="F39" s="133">
        <f>F17+F26+F27+F35+F37+F38+F36</f>
        <v>0.99999999999999989</v>
      </c>
      <c r="G39" s="6"/>
    </row>
    <row r="41" spans="1:9" ht="13.5" thickBot="1" x14ac:dyDescent="0.25"/>
    <row r="42" spans="1:9" s="4" customFormat="1" ht="15" customHeight="1" thickBot="1" x14ac:dyDescent="0.25">
      <c r="A42" s="664" t="s">
        <v>95</v>
      </c>
      <c r="B42" s="665"/>
      <c r="C42" s="665"/>
      <c r="D42" s="665"/>
      <c r="E42" s="666"/>
      <c r="F42" s="10"/>
      <c r="G42" s="6"/>
    </row>
    <row r="43" spans="1:9" s="4" customFormat="1" ht="15" customHeight="1" thickBot="1" x14ac:dyDescent="0.25">
      <c r="A43" s="661" t="s">
        <v>41</v>
      </c>
      <c r="B43" s="662"/>
      <c r="C43" s="662"/>
      <c r="D43" s="663"/>
      <c r="E43" s="47" t="s">
        <v>42</v>
      </c>
      <c r="F43" s="10"/>
      <c r="G43" s="601"/>
      <c r="I43" s="5"/>
    </row>
    <row r="44" spans="1:9" s="4" customFormat="1" ht="15" hidden="1" customHeight="1" x14ac:dyDescent="0.2">
      <c r="A44" s="70" t="str">
        <f>+A58</f>
        <v>1.1. Coletor Turno Dia</v>
      </c>
      <c r="B44" s="71"/>
      <c r="C44" s="71"/>
      <c r="D44" s="72"/>
      <c r="E44" s="73">
        <f>C68</f>
        <v>0</v>
      </c>
      <c r="F44" s="10"/>
      <c r="G44" s="601"/>
      <c r="I44" s="602"/>
    </row>
    <row r="45" spans="1:9" s="4" customFormat="1" ht="15" customHeight="1" x14ac:dyDescent="0.2">
      <c r="A45" s="64" t="str">
        <f>+A71</f>
        <v>1.1. Coletor Turno Dia</v>
      </c>
      <c r="B45" s="63"/>
      <c r="C45" s="63"/>
      <c r="D45" s="74"/>
      <c r="E45" s="67">
        <f>C87</f>
        <v>6</v>
      </c>
      <c r="F45" s="10"/>
      <c r="G45" s="6"/>
    </row>
    <row r="46" spans="1:9" s="4" customFormat="1" ht="15" customHeight="1" x14ac:dyDescent="0.2">
      <c r="A46" s="64" t="str">
        <f>+A90</f>
        <v>1.2. Encarregado/Supervisor</v>
      </c>
      <c r="B46" s="63"/>
      <c r="C46" s="63"/>
      <c r="D46" s="74"/>
      <c r="E46" s="67">
        <f>C102</f>
        <v>1</v>
      </c>
      <c r="F46" s="10"/>
      <c r="G46" s="6"/>
    </row>
    <row r="47" spans="1:9" s="4" customFormat="1" ht="15" customHeight="1" x14ac:dyDescent="0.2">
      <c r="A47" s="64" t="str">
        <f>+A106</f>
        <v>1.3. Motorista Turno do Dia</v>
      </c>
      <c r="B47" s="63"/>
      <c r="C47" s="63"/>
      <c r="D47" s="74"/>
      <c r="E47" s="67">
        <f>C124</f>
        <v>2</v>
      </c>
      <c r="F47" s="10"/>
      <c r="G47" s="6"/>
    </row>
    <row r="48" spans="1:9" s="4" customFormat="1" ht="15" customHeight="1" thickBot="1" x14ac:dyDescent="0.25">
      <c r="A48" s="68" t="s">
        <v>60</v>
      </c>
      <c r="B48" s="69"/>
      <c r="C48" s="69"/>
      <c r="D48" s="75"/>
      <c r="E48" s="76">
        <f>SUM(E44:E47)</f>
        <v>9</v>
      </c>
      <c r="F48" s="10"/>
      <c r="G48" s="6"/>
    </row>
    <row r="49" spans="1:7" s="4" customFormat="1" ht="15" customHeight="1" thickBot="1" x14ac:dyDescent="0.25">
      <c r="A49" s="121"/>
      <c r="B49" s="122"/>
      <c r="C49" s="56"/>
      <c r="D49" s="56"/>
      <c r="E49" s="123"/>
      <c r="F49" s="10"/>
      <c r="G49" s="6"/>
    </row>
    <row r="50" spans="1:7" s="4" customFormat="1" ht="15" customHeight="1" x14ac:dyDescent="0.2">
      <c r="A50" s="651" t="s">
        <v>58</v>
      </c>
      <c r="B50" s="652"/>
      <c r="C50" s="652"/>
      <c r="D50" s="652"/>
      <c r="E50" s="47" t="s">
        <v>42</v>
      </c>
      <c r="F50" s="9"/>
      <c r="G50" s="6"/>
    </row>
    <row r="51" spans="1:7" s="4" customFormat="1" ht="15" customHeight="1" thickBot="1" x14ac:dyDescent="0.25">
      <c r="A51" s="124" t="str">
        <f>+A192</f>
        <v>3.1. Veículo Coletor com compactador</v>
      </c>
      <c r="B51" s="125"/>
      <c r="C51" s="125"/>
      <c r="D51" s="126"/>
      <c r="E51" s="127">
        <f>C208</f>
        <v>2</v>
      </c>
      <c r="F51" s="9"/>
      <c r="G51" s="6"/>
    </row>
    <row r="52" spans="1:7" s="4" customFormat="1" ht="15" customHeight="1" x14ac:dyDescent="0.2">
      <c r="A52" s="56"/>
      <c r="B52" s="56"/>
      <c r="C52" s="56"/>
      <c r="D52" s="9"/>
      <c r="E52" s="229"/>
      <c r="F52" s="9"/>
      <c r="G52" s="6"/>
    </row>
    <row r="53" spans="1:7" s="4" customFormat="1" ht="13.5" thickBot="1" x14ac:dyDescent="0.25">
      <c r="A53" s="56"/>
      <c r="B53" s="56"/>
      <c r="C53" s="56"/>
      <c r="D53" s="9"/>
      <c r="E53" s="65"/>
      <c r="F53" s="9"/>
      <c r="G53" s="6"/>
    </row>
    <row r="54" spans="1:7" s="11" customFormat="1" ht="15.75" customHeight="1" thickBot="1" x14ac:dyDescent="0.25">
      <c r="A54" s="240" t="s">
        <v>186</v>
      </c>
      <c r="B54" s="286">
        <f>'11. Horários'!G56</f>
        <v>0.36363636363636365</v>
      </c>
      <c r="C54" s="34"/>
      <c r="E54" s="142"/>
      <c r="G54" s="43"/>
    </row>
    <row r="55" spans="1:7" s="4" customFormat="1" ht="15.75" customHeight="1" x14ac:dyDescent="0.2">
      <c r="A55" s="56"/>
      <c r="B55" s="56"/>
      <c r="C55" s="56"/>
      <c r="D55" s="9"/>
      <c r="E55" s="65"/>
      <c r="F55" s="9"/>
      <c r="G55" s="6"/>
    </row>
    <row r="56" spans="1:7" ht="13.15" customHeight="1" x14ac:dyDescent="0.2">
      <c r="A56" s="11" t="s">
        <v>49</v>
      </c>
    </row>
    <row r="57" spans="1:7" ht="11.25" customHeight="1" x14ac:dyDescent="0.2"/>
    <row r="58" spans="1:7" ht="13.9" hidden="1" customHeight="1" thickBot="1" x14ac:dyDescent="0.25">
      <c r="A58" s="9" t="s">
        <v>98</v>
      </c>
    </row>
    <row r="59" spans="1:7" ht="13.9" hidden="1" customHeight="1" thickBot="1" x14ac:dyDescent="0.25">
      <c r="A59" s="57" t="s">
        <v>64</v>
      </c>
      <c r="B59" s="58" t="s">
        <v>65</v>
      </c>
      <c r="C59" s="58" t="s">
        <v>42</v>
      </c>
      <c r="D59" s="59" t="s">
        <v>224</v>
      </c>
      <c r="E59" s="59" t="s">
        <v>66</v>
      </c>
      <c r="F59" s="60" t="s">
        <v>67</v>
      </c>
    </row>
    <row r="60" spans="1:7" ht="13.15" hidden="1" customHeight="1" x14ac:dyDescent="0.2">
      <c r="A60" s="13" t="s">
        <v>206</v>
      </c>
      <c r="B60" s="14" t="s">
        <v>8</v>
      </c>
      <c r="C60" s="14">
        <v>1</v>
      </c>
      <c r="D60" s="285">
        <v>1549.57</v>
      </c>
      <c r="E60" s="15">
        <f>C60*D60</f>
        <v>1549.57</v>
      </c>
    </row>
    <row r="61" spans="1:7" hidden="1" x14ac:dyDescent="0.2">
      <c r="A61" s="16" t="s">
        <v>36</v>
      </c>
      <c r="B61" s="17" t="s">
        <v>0</v>
      </c>
      <c r="C61" s="83"/>
      <c r="D61" s="18">
        <f>D60/220*2</f>
        <v>14.087</v>
      </c>
      <c r="E61" s="18">
        <f>C61*D61</f>
        <v>0</v>
      </c>
    </row>
    <row r="62" spans="1:7" ht="13.15" hidden="1" customHeight="1" x14ac:dyDescent="0.2">
      <c r="A62" s="16" t="s">
        <v>37</v>
      </c>
      <c r="B62" s="17" t="s">
        <v>0</v>
      </c>
      <c r="C62" s="83"/>
      <c r="D62" s="18">
        <f>D60/220*1.5</f>
        <v>10.565249999999999</v>
      </c>
      <c r="E62" s="18">
        <f>C62*D62</f>
        <v>0</v>
      </c>
    </row>
    <row r="63" spans="1:7" ht="13.15" hidden="1" customHeight="1" x14ac:dyDescent="0.2">
      <c r="A63" s="16" t="s">
        <v>210</v>
      </c>
      <c r="B63" s="17" t="s">
        <v>35</v>
      </c>
      <c r="D63" s="18">
        <f>63/302*(SUM(E61:E62))</f>
        <v>0</v>
      </c>
      <c r="E63" s="18">
        <f>D63</f>
        <v>0</v>
      </c>
    </row>
    <row r="64" spans="1:7" hidden="1" x14ac:dyDescent="0.2">
      <c r="A64" s="16" t="s">
        <v>1</v>
      </c>
      <c r="B64" s="17" t="s">
        <v>2</v>
      </c>
      <c r="C64" s="17">
        <v>40</v>
      </c>
      <c r="D64" s="78">
        <f>SUM(E60:E63)</f>
        <v>1549.57</v>
      </c>
      <c r="E64" s="18">
        <f>C64*D64/100</f>
        <v>619.82799999999997</v>
      </c>
    </row>
    <row r="65" spans="1:8" hidden="1" x14ac:dyDescent="0.2">
      <c r="A65" s="109" t="s">
        <v>3</v>
      </c>
      <c r="B65" s="110"/>
      <c r="C65" s="110"/>
      <c r="D65" s="111"/>
      <c r="E65" s="112">
        <f>SUM(E60:E64)</f>
        <v>2169.3980000000001</v>
      </c>
    </row>
    <row r="66" spans="1:8" hidden="1" x14ac:dyDescent="0.2">
      <c r="A66" s="16" t="s">
        <v>4</v>
      </c>
      <c r="B66" s="17" t="s">
        <v>2</v>
      </c>
      <c r="C66" s="131">
        <f>'7.Enc Sociais'!$C$38*100</f>
        <v>69.355340000000012</v>
      </c>
      <c r="D66" s="18">
        <f>E65</f>
        <v>2169.3980000000001</v>
      </c>
      <c r="E66" s="18">
        <f>D66*C66/100</f>
        <v>1504.5933588532002</v>
      </c>
    </row>
    <row r="67" spans="1:8" hidden="1" x14ac:dyDescent="0.2">
      <c r="A67" s="109" t="s">
        <v>73</v>
      </c>
      <c r="B67" s="110"/>
      <c r="C67" s="110"/>
      <c r="D67" s="111"/>
      <c r="E67" s="112">
        <f>E65+E66</f>
        <v>3673.9913588532004</v>
      </c>
    </row>
    <row r="68" spans="1:8" ht="13.5" hidden="1" thickBot="1" x14ac:dyDescent="0.25">
      <c r="A68" s="16" t="s">
        <v>5</v>
      </c>
      <c r="B68" s="17" t="s">
        <v>6</v>
      </c>
      <c r="C68" s="81">
        <v>0</v>
      </c>
      <c r="D68" s="18">
        <f>E67</f>
        <v>3673.9913588532004</v>
      </c>
      <c r="E68" s="18">
        <f>C68*D68</f>
        <v>0</v>
      </c>
      <c r="G68" s="6"/>
      <c r="H68" s="303"/>
    </row>
    <row r="69" spans="1:8" ht="13.9" hidden="1" customHeight="1" thickBot="1" x14ac:dyDescent="0.25">
      <c r="A69" s="7" t="s">
        <v>546</v>
      </c>
      <c r="D69" s="115" t="s">
        <v>185</v>
      </c>
      <c r="E69" s="287">
        <f>$B$54</f>
        <v>0.36363636363636365</v>
      </c>
      <c r="F69" s="116">
        <f>E68*E69</f>
        <v>0</v>
      </c>
      <c r="G69" s="6"/>
      <c r="H69" s="303"/>
    </row>
    <row r="70" spans="1:8" ht="11.25" customHeight="1" x14ac:dyDescent="0.2">
      <c r="A70" s="7"/>
    </row>
    <row r="71" spans="1:8" ht="13.5" thickBot="1" x14ac:dyDescent="0.25">
      <c r="A71" s="7" t="s">
        <v>98</v>
      </c>
    </row>
    <row r="72" spans="1:8" ht="13.5" thickBot="1" x14ac:dyDescent="0.25">
      <c r="A72" s="57" t="s">
        <v>64</v>
      </c>
      <c r="B72" s="58" t="s">
        <v>65</v>
      </c>
      <c r="C72" s="58" t="s">
        <v>42</v>
      </c>
      <c r="D72" s="59" t="s">
        <v>224</v>
      </c>
      <c r="E72" s="59" t="s">
        <v>66</v>
      </c>
      <c r="F72" s="60" t="s">
        <v>67</v>
      </c>
    </row>
    <row r="73" spans="1:8" x14ac:dyDescent="0.2">
      <c r="A73" s="13" t="s">
        <v>206</v>
      </c>
      <c r="B73" s="14" t="s">
        <v>8</v>
      </c>
      <c r="C73" s="14">
        <v>1</v>
      </c>
      <c r="D73" s="82">
        <f>D60</f>
        <v>1549.57</v>
      </c>
      <c r="E73" s="15">
        <f>C73*D73</f>
        <v>1549.57</v>
      </c>
    </row>
    <row r="74" spans="1:8" hidden="1" x14ac:dyDescent="0.2">
      <c r="A74" s="16" t="s">
        <v>7</v>
      </c>
      <c r="B74" s="17" t="s">
        <v>96</v>
      </c>
      <c r="C74" s="83">
        <v>0</v>
      </c>
      <c r="D74" s="18"/>
      <c r="E74" s="18"/>
    </row>
    <row r="75" spans="1:8" hidden="1" x14ac:dyDescent="0.2">
      <c r="A75" s="16"/>
      <c r="B75" s="17" t="s">
        <v>99</v>
      </c>
      <c r="C75" s="113">
        <f>C74*8/7</f>
        <v>0</v>
      </c>
      <c r="D75" s="18">
        <f>D73/220*0.2</f>
        <v>1.4087000000000001</v>
      </c>
      <c r="E75" s="18">
        <f>C74*D75</f>
        <v>0</v>
      </c>
    </row>
    <row r="76" spans="1:8" hidden="1" x14ac:dyDescent="0.2">
      <c r="A76" s="16" t="s">
        <v>36</v>
      </c>
      <c r="B76" s="17" t="s">
        <v>0</v>
      </c>
      <c r="C76" s="83"/>
      <c r="D76" s="18">
        <f>D73/220*2</f>
        <v>14.087</v>
      </c>
      <c r="E76" s="18">
        <f>C76*D76</f>
        <v>0</v>
      </c>
    </row>
    <row r="77" spans="1:8" hidden="1" x14ac:dyDescent="0.2">
      <c r="A77" s="16" t="s">
        <v>97</v>
      </c>
      <c r="B77" s="17" t="s">
        <v>96</v>
      </c>
      <c r="C77" s="83"/>
      <c r="D77" s="18"/>
      <c r="E77" s="18"/>
    </row>
    <row r="78" spans="1:8" hidden="1" x14ac:dyDescent="0.2">
      <c r="A78" s="16"/>
      <c r="B78" s="17" t="s">
        <v>99</v>
      </c>
      <c r="C78" s="113">
        <f>C77*8/7</f>
        <v>0</v>
      </c>
      <c r="D78" s="18">
        <f>D73/220*2*1.2</f>
        <v>16.904399999999999</v>
      </c>
      <c r="E78" s="18">
        <f>C78*D78</f>
        <v>0</v>
      </c>
    </row>
    <row r="79" spans="1:8" hidden="1" x14ac:dyDescent="0.2">
      <c r="A79" s="16" t="s">
        <v>37</v>
      </c>
      <c r="B79" s="17" t="s">
        <v>0</v>
      </c>
      <c r="C79" s="83"/>
      <c r="D79" s="18">
        <f>D73/220*1.5</f>
        <v>10.565249999999999</v>
      </c>
      <c r="E79" s="18">
        <f>C79*D79</f>
        <v>0</v>
      </c>
    </row>
    <row r="80" spans="1:8" hidden="1" x14ac:dyDescent="0.2">
      <c r="A80" s="16" t="s">
        <v>208</v>
      </c>
      <c r="B80" s="17" t="s">
        <v>96</v>
      </c>
      <c r="C80" s="83"/>
      <c r="D80" s="18"/>
      <c r="E80" s="18"/>
    </row>
    <row r="81" spans="1:10" hidden="1" x14ac:dyDescent="0.2">
      <c r="A81" s="16"/>
      <c r="B81" s="17" t="s">
        <v>99</v>
      </c>
      <c r="C81" s="18">
        <f>C80*8/7</f>
        <v>0</v>
      </c>
      <c r="D81" s="18">
        <f>D73/220*1.5*1.2</f>
        <v>12.678299999999998</v>
      </c>
      <c r="E81" s="18">
        <f>C81*D81</f>
        <v>0</v>
      </c>
    </row>
    <row r="82" spans="1:10" ht="13.15" hidden="1" customHeight="1" x14ac:dyDescent="0.2">
      <c r="A82" s="16" t="s">
        <v>210</v>
      </c>
      <c r="B82" s="17" t="s">
        <v>35</v>
      </c>
      <c r="D82" s="18">
        <f>63/302*(SUM(E76:E81))</f>
        <v>0</v>
      </c>
      <c r="E82" s="18">
        <f>D82</f>
        <v>0</v>
      </c>
    </row>
    <row r="83" spans="1:10" x14ac:dyDescent="0.2">
      <c r="A83" s="16" t="s">
        <v>1</v>
      </c>
      <c r="B83" s="17" t="s">
        <v>2</v>
      </c>
      <c r="C83" s="17">
        <f>+C64</f>
        <v>40</v>
      </c>
      <c r="D83" s="78">
        <f>SUM(E73:E82)</f>
        <v>1549.57</v>
      </c>
      <c r="E83" s="18">
        <f>C83*D83/100</f>
        <v>619.82799999999997</v>
      </c>
    </row>
    <row r="84" spans="1:10" x14ac:dyDescent="0.2">
      <c r="A84" s="109" t="s">
        <v>3</v>
      </c>
      <c r="B84" s="110"/>
      <c r="C84" s="110"/>
      <c r="D84" s="111"/>
      <c r="E84" s="112">
        <f>SUM(E73:E83)</f>
        <v>2169.3980000000001</v>
      </c>
    </row>
    <row r="85" spans="1:10" x14ac:dyDescent="0.2">
      <c r="A85" s="16" t="s">
        <v>4</v>
      </c>
      <c r="B85" s="17" t="s">
        <v>2</v>
      </c>
      <c r="C85" s="131">
        <f>'7.Enc Sociais'!$C$38*100</f>
        <v>69.355340000000012</v>
      </c>
      <c r="D85" s="18">
        <f>E84</f>
        <v>2169.3980000000001</v>
      </c>
      <c r="E85" s="18">
        <f>D85*C85/100</f>
        <v>1504.5933588532002</v>
      </c>
    </row>
    <row r="86" spans="1:10" x14ac:dyDescent="0.2">
      <c r="A86" s="109" t="s">
        <v>73</v>
      </c>
      <c r="B86" s="110"/>
      <c r="C86" s="110"/>
      <c r="D86" s="111"/>
      <c r="E86" s="112">
        <f>E84+E85</f>
        <v>3673.9913588532004</v>
      </c>
    </row>
    <row r="87" spans="1:10" ht="13.5" thickBot="1" x14ac:dyDescent="0.25">
      <c r="A87" s="16" t="s">
        <v>5</v>
      </c>
      <c r="B87" s="17" t="s">
        <v>6</v>
      </c>
      <c r="C87" s="81">
        <v>6</v>
      </c>
      <c r="D87" s="18">
        <f>E86</f>
        <v>3673.9913588532004</v>
      </c>
      <c r="E87" s="18">
        <f>C87*D87</f>
        <v>22043.948153119203</v>
      </c>
    </row>
    <row r="88" spans="1:10" ht="13.5" thickBot="1" x14ac:dyDescent="0.25">
      <c r="A88" s="7" t="s">
        <v>546</v>
      </c>
      <c r="D88" s="115" t="s">
        <v>185</v>
      </c>
      <c r="E88" s="287">
        <f>$B$54</f>
        <v>0.36363636363636365</v>
      </c>
      <c r="F88" s="116">
        <f>E87*E88</f>
        <v>8015.9811465888015</v>
      </c>
      <c r="I88" s="643"/>
      <c r="J88" s="643"/>
    </row>
    <row r="89" spans="1:10" ht="11.25" customHeight="1" x14ac:dyDescent="0.2"/>
    <row r="90" spans="1:10" ht="13.5" thickBot="1" x14ac:dyDescent="0.25">
      <c r="A90" s="7" t="s">
        <v>561</v>
      </c>
    </row>
    <row r="91" spans="1:10" s="12" customFormat="1" ht="13.15" customHeight="1" thickBot="1" x14ac:dyDescent="0.25">
      <c r="A91" s="57" t="s">
        <v>64</v>
      </c>
      <c r="B91" s="58" t="s">
        <v>65</v>
      </c>
      <c r="C91" s="58" t="s">
        <v>42</v>
      </c>
      <c r="D91" s="59" t="s">
        <v>224</v>
      </c>
      <c r="E91" s="59" t="s">
        <v>66</v>
      </c>
      <c r="F91" s="60" t="s">
        <v>67</v>
      </c>
      <c r="G91" s="10"/>
    </row>
    <row r="92" spans="1:10" x14ac:dyDescent="0.2">
      <c r="A92" s="278" t="s">
        <v>282</v>
      </c>
      <c r="B92" s="14" t="s">
        <v>8</v>
      </c>
      <c r="C92" s="14">
        <v>1</v>
      </c>
      <c r="D92" s="285">
        <v>1797.11</v>
      </c>
      <c r="E92" s="15">
        <f>C92*D92</f>
        <v>1797.11</v>
      </c>
    </row>
    <row r="93" spans="1:10" hidden="1" x14ac:dyDescent="0.2">
      <c r="A93" s="278" t="s">
        <v>283</v>
      </c>
      <c r="B93" s="14" t="s">
        <v>8</v>
      </c>
      <c r="C93" s="14">
        <v>1</v>
      </c>
      <c r="D93" s="82">
        <v>0</v>
      </c>
      <c r="E93" s="15"/>
    </row>
    <row r="94" spans="1:10" hidden="1" x14ac:dyDescent="0.2">
      <c r="A94" s="16" t="s">
        <v>36</v>
      </c>
      <c r="B94" s="17" t="s">
        <v>0</v>
      </c>
      <c r="C94" s="83"/>
      <c r="D94" s="18">
        <f>D92/220*2</f>
        <v>16.337363636363637</v>
      </c>
      <c r="E94" s="18">
        <f>C94*D94</f>
        <v>0</v>
      </c>
    </row>
    <row r="95" spans="1:10" hidden="1" x14ac:dyDescent="0.2">
      <c r="A95" s="16" t="s">
        <v>37</v>
      </c>
      <c r="B95" s="17" t="s">
        <v>0</v>
      </c>
      <c r="C95" s="83"/>
      <c r="D95" s="18">
        <f>D92/220*1.5</f>
        <v>12.253022727272729</v>
      </c>
      <c r="E95" s="18">
        <f>C95*D95</f>
        <v>0</v>
      </c>
    </row>
    <row r="96" spans="1:10" ht="13.15" hidden="1" customHeight="1" x14ac:dyDescent="0.2">
      <c r="A96" s="16" t="s">
        <v>210</v>
      </c>
      <c r="B96" s="17" t="s">
        <v>35</v>
      </c>
      <c r="D96" s="18">
        <f>63/302*(SUM(E94:E95))</f>
        <v>0</v>
      </c>
      <c r="E96" s="18">
        <f>D96</f>
        <v>0</v>
      </c>
    </row>
    <row r="97" spans="1:8" hidden="1" x14ac:dyDescent="0.2">
      <c r="A97" s="16" t="s">
        <v>207</v>
      </c>
      <c r="B97" s="17"/>
      <c r="C97" s="85">
        <v>1</v>
      </c>
      <c r="D97" s="18"/>
      <c r="E97" s="18"/>
    </row>
    <row r="98" spans="1:8" hidden="1" x14ac:dyDescent="0.2">
      <c r="A98" s="16" t="s">
        <v>1</v>
      </c>
      <c r="B98" s="17" t="s">
        <v>2</v>
      </c>
      <c r="C98" s="81">
        <v>20</v>
      </c>
      <c r="D98" s="78">
        <f>IF(C97=2,SUM(E92:E96),IF(C97=1,(SUM(E92:E96))*D93/D92,0))</f>
        <v>0</v>
      </c>
      <c r="E98" s="18">
        <f>C98*D98/100</f>
        <v>0</v>
      </c>
    </row>
    <row r="99" spans="1:8" s="11" customFormat="1" x14ac:dyDescent="0.2">
      <c r="A99" s="96" t="s">
        <v>3</v>
      </c>
      <c r="B99" s="110"/>
      <c r="C99" s="110"/>
      <c r="D99" s="111"/>
      <c r="E99" s="98">
        <f>SUM(E92:E98)</f>
        <v>1797.11</v>
      </c>
      <c r="F99" s="43"/>
      <c r="G99" s="43"/>
    </row>
    <row r="100" spans="1:8" x14ac:dyDescent="0.2">
      <c r="A100" s="16" t="s">
        <v>4</v>
      </c>
      <c r="B100" s="17" t="s">
        <v>2</v>
      </c>
      <c r="C100" s="131">
        <f>'7.Enc Sociais'!$C$38*100</f>
        <v>69.355340000000012</v>
      </c>
      <c r="D100" s="18">
        <f>E99</f>
        <v>1797.11</v>
      </c>
      <c r="E100" s="18">
        <f>D100*C100/100</f>
        <v>1246.3917506740001</v>
      </c>
    </row>
    <row r="101" spans="1:8" s="11" customFormat="1" x14ac:dyDescent="0.2">
      <c r="A101" s="96" t="s">
        <v>244</v>
      </c>
      <c r="B101" s="246"/>
      <c r="C101" s="246"/>
      <c r="D101" s="247"/>
      <c r="E101" s="98">
        <f>E99+E100</f>
        <v>3043.501750674</v>
      </c>
      <c r="F101" s="43"/>
      <c r="G101" s="43"/>
    </row>
    <row r="102" spans="1:8" ht="13.5" thickBot="1" x14ac:dyDescent="0.25">
      <c r="A102" s="16" t="s">
        <v>5</v>
      </c>
      <c r="B102" s="17" t="s">
        <v>6</v>
      </c>
      <c r="C102" s="81">
        <v>1</v>
      </c>
      <c r="D102" s="18">
        <f>E101</f>
        <v>3043.501750674</v>
      </c>
      <c r="E102" s="18">
        <f>C102*D102</f>
        <v>3043.501750674</v>
      </c>
    </row>
    <row r="103" spans="1:8" ht="13.5" thickBot="1" x14ac:dyDescent="0.25">
      <c r="A103" s="7" t="s">
        <v>562</v>
      </c>
      <c r="D103" s="115" t="s">
        <v>185</v>
      </c>
      <c r="E103" s="287">
        <f>4/44</f>
        <v>9.0909090909090912E-2</v>
      </c>
      <c r="F103" s="116">
        <f>E102*E103</f>
        <v>276.68197733400001</v>
      </c>
      <c r="H103" s="303"/>
    </row>
    <row r="104" spans="1:8" ht="11.25" customHeight="1" x14ac:dyDescent="0.2">
      <c r="A104" s="7"/>
    </row>
    <row r="105" spans="1:8" ht="11.25" customHeight="1" x14ac:dyDescent="0.2">
      <c r="A105" s="7"/>
    </row>
    <row r="106" spans="1:8" ht="13.5" thickBot="1" x14ac:dyDescent="0.25">
      <c r="A106" s="7" t="s">
        <v>447</v>
      </c>
    </row>
    <row r="107" spans="1:8" ht="13.5" thickBot="1" x14ac:dyDescent="0.25">
      <c r="A107" s="57" t="s">
        <v>64</v>
      </c>
      <c r="B107" s="58" t="s">
        <v>65</v>
      </c>
      <c r="C107" s="58" t="s">
        <v>42</v>
      </c>
      <c r="D107" s="59" t="s">
        <v>224</v>
      </c>
      <c r="E107" s="59" t="s">
        <v>66</v>
      </c>
      <c r="F107" s="60" t="s">
        <v>67</v>
      </c>
    </row>
    <row r="108" spans="1:8" x14ac:dyDescent="0.2">
      <c r="A108" s="278" t="s">
        <v>434</v>
      </c>
      <c r="B108" s="14" t="s">
        <v>8</v>
      </c>
      <c r="C108" s="14">
        <v>1</v>
      </c>
      <c r="D108" s="82">
        <v>1930.19</v>
      </c>
      <c r="E108" s="15">
        <f>C108*D108</f>
        <v>1930.19</v>
      </c>
    </row>
    <row r="109" spans="1:8" x14ac:dyDescent="0.2">
      <c r="A109" s="278" t="s">
        <v>283</v>
      </c>
      <c r="B109" s="14" t="s">
        <v>8</v>
      </c>
      <c r="C109" s="14">
        <v>1</v>
      </c>
      <c r="D109" s="18">
        <v>1212</v>
      </c>
      <c r="E109" s="18"/>
    </row>
    <row r="110" spans="1:8" hidden="1" x14ac:dyDescent="0.2">
      <c r="A110" s="16" t="s">
        <v>7</v>
      </c>
      <c r="B110" s="17" t="s">
        <v>96</v>
      </c>
      <c r="C110" s="83">
        <v>0</v>
      </c>
      <c r="D110" s="16"/>
      <c r="E110" s="16"/>
    </row>
    <row r="111" spans="1:8" hidden="1" x14ac:dyDescent="0.2">
      <c r="A111" s="16"/>
      <c r="B111" s="17" t="s">
        <v>99</v>
      </c>
      <c r="C111" s="18">
        <f>C110*8/7</f>
        <v>0</v>
      </c>
      <c r="D111" s="18">
        <f>D108/220*0.2</f>
        <v>1.7547181818181821</v>
      </c>
      <c r="E111" s="18">
        <f>C110*D111</f>
        <v>0</v>
      </c>
    </row>
    <row r="112" spans="1:8" hidden="1" x14ac:dyDescent="0.2">
      <c r="A112" s="16" t="s">
        <v>36</v>
      </c>
      <c r="B112" s="17" t="s">
        <v>0</v>
      </c>
      <c r="C112" s="83"/>
      <c r="D112" s="18">
        <f>D108/220*2</f>
        <v>17.547181818181819</v>
      </c>
      <c r="E112" s="18">
        <f>C112*D112</f>
        <v>0</v>
      </c>
      <c r="G112" s="10" t="s">
        <v>240</v>
      </c>
    </row>
    <row r="113" spans="1:10" hidden="1" x14ac:dyDescent="0.2">
      <c r="A113" s="16" t="s">
        <v>97</v>
      </c>
      <c r="B113" s="17" t="s">
        <v>96</v>
      </c>
      <c r="C113" s="83"/>
      <c r="D113" s="18"/>
      <c r="E113" s="18"/>
      <c r="G113" s="10" t="s">
        <v>241</v>
      </c>
    </row>
    <row r="114" spans="1:10" hidden="1" x14ac:dyDescent="0.2">
      <c r="A114" s="16"/>
      <c r="B114" s="17" t="s">
        <v>99</v>
      </c>
      <c r="C114" s="18">
        <f>C113*8/7</f>
        <v>0</v>
      </c>
      <c r="D114" s="18">
        <f>D108/220*2*1.2</f>
        <v>21.056618181818184</v>
      </c>
      <c r="E114" s="18">
        <f>C114*D114</f>
        <v>0</v>
      </c>
      <c r="G114" s="10" t="s">
        <v>241</v>
      </c>
    </row>
    <row r="115" spans="1:10" hidden="1" x14ac:dyDescent="0.2">
      <c r="A115" s="16" t="s">
        <v>37</v>
      </c>
      <c r="B115" s="17" t="s">
        <v>0</v>
      </c>
      <c r="C115" s="83"/>
      <c r="D115" s="18">
        <f>D108/220*1.5</f>
        <v>13.160386363636364</v>
      </c>
      <c r="E115" s="18">
        <f>C115*D115</f>
        <v>0</v>
      </c>
      <c r="G115" s="10" t="s">
        <v>242</v>
      </c>
    </row>
    <row r="116" spans="1:10" hidden="1" x14ac:dyDescent="0.2">
      <c r="A116" s="16" t="s">
        <v>208</v>
      </c>
      <c r="B116" s="17" t="s">
        <v>96</v>
      </c>
      <c r="C116" s="83"/>
      <c r="D116" s="18"/>
      <c r="E116" s="18"/>
      <c r="G116" s="10" t="s">
        <v>243</v>
      </c>
    </row>
    <row r="117" spans="1:10" hidden="1" x14ac:dyDescent="0.2">
      <c r="A117" s="16"/>
      <c r="B117" s="17" t="s">
        <v>99</v>
      </c>
      <c r="C117" s="18">
        <f>C116*8/7</f>
        <v>0</v>
      </c>
      <c r="D117" s="18">
        <f>D108/220*1.5*1.2</f>
        <v>15.792463636363637</v>
      </c>
      <c r="E117" s="18">
        <f>C117*D117</f>
        <v>0</v>
      </c>
      <c r="G117" s="10" t="s">
        <v>243</v>
      </c>
    </row>
    <row r="118" spans="1:10" ht="13.15" hidden="1" customHeight="1" x14ac:dyDescent="0.2">
      <c r="A118" s="16" t="s">
        <v>210</v>
      </c>
      <c r="B118" s="17" t="s">
        <v>35</v>
      </c>
      <c r="D118" s="18">
        <f>63/302*(SUM(E112:E117))</f>
        <v>0</v>
      </c>
      <c r="E118" s="18">
        <f>D118</f>
        <v>0</v>
      </c>
      <c r="G118" s="10" t="s">
        <v>209</v>
      </c>
    </row>
    <row r="119" spans="1:10" x14ac:dyDescent="0.2">
      <c r="A119" s="16" t="s">
        <v>207</v>
      </c>
      <c r="B119" s="17"/>
      <c r="C119" s="85">
        <v>1</v>
      </c>
      <c r="D119" s="18"/>
      <c r="E119" s="18"/>
    </row>
    <row r="120" spans="1:10" x14ac:dyDescent="0.2">
      <c r="A120" s="16" t="s">
        <v>1</v>
      </c>
      <c r="B120" s="17" t="s">
        <v>2</v>
      </c>
      <c r="C120" s="78">
        <f>+C98</f>
        <v>20</v>
      </c>
      <c r="D120" s="78">
        <f>D109</f>
        <v>1212</v>
      </c>
      <c r="E120" s="18">
        <f>C120*D120/100</f>
        <v>242.4</v>
      </c>
    </row>
    <row r="121" spans="1:10" s="11" customFormat="1" x14ac:dyDescent="0.2">
      <c r="A121" s="109" t="s">
        <v>3</v>
      </c>
      <c r="B121" s="110"/>
      <c r="C121" s="110"/>
      <c r="D121" s="111"/>
      <c r="E121" s="112">
        <f>SUM(E108:E120)</f>
        <v>2172.59</v>
      </c>
      <c r="F121" s="43"/>
      <c r="G121" s="43"/>
    </row>
    <row r="122" spans="1:10" x14ac:dyDescent="0.2">
      <c r="A122" s="16" t="s">
        <v>4</v>
      </c>
      <c r="B122" s="17" t="s">
        <v>2</v>
      </c>
      <c r="C122" s="131">
        <f>'7.Enc Sociais'!$C$38*100</f>
        <v>69.355340000000012</v>
      </c>
      <c r="D122" s="18">
        <f>E121</f>
        <v>2172.59</v>
      </c>
      <c r="E122" s="18">
        <f>D122*C122/100</f>
        <v>1506.8071813060003</v>
      </c>
    </row>
    <row r="123" spans="1:10" s="11" customFormat="1" x14ac:dyDescent="0.2">
      <c r="A123" s="109" t="s">
        <v>399</v>
      </c>
      <c r="B123" s="110"/>
      <c r="C123" s="110"/>
      <c r="D123" s="111"/>
      <c r="E123" s="112">
        <f>E121+E122</f>
        <v>3679.3971813060007</v>
      </c>
      <c r="F123" s="43"/>
      <c r="G123" s="43"/>
    </row>
    <row r="124" spans="1:10" ht="13.5" thickBot="1" x14ac:dyDescent="0.25">
      <c r="A124" s="16" t="s">
        <v>5</v>
      </c>
      <c r="B124" s="17" t="s">
        <v>6</v>
      </c>
      <c r="C124" s="81">
        <v>2</v>
      </c>
      <c r="D124" s="18">
        <f>E123</f>
        <v>3679.3971813060007</v>
      </c>
      <c r="E124" s="18">
        <f>C124*D124</f>
        <v>7358.7943626120014</v>
      </c>
    </row>
    <row r="125" spans="1:10" ht="13.5" thickBot="1" x14ac:dyDescent="0.25">
      <c r="A125" s="7" t="s">
        <v>443</v>
      </c>
      <c r="D125" s="115" t="s">
        <v>185</v>
      </c>
      <c r="E125" s="287">
        <f>'11. Horários'!G68</f>
        <v>0.42045454545454547</v>
      </c>
      <c r="F125" s="116">
        <f>E124*E125</f>
        <v>3094.0385388255008</v>
      </c>
      <c r="I125" s="643"/>
      <c r="J125" s="643"/>
    </row>
    <row r="126" spans="1:10" ht="11.25" customHeight="1" x14ac:dyDescent="0.2">
      <c r="G126" s="9"/>
    </row>
    <row r="127" spans="1:10" ht="13.5" thickBot="1" x14ac:dyDescent="0.25">
      <c r="A127" s="7" t="s">
        <v>413</v>
      </c>
      <c r="B127" s="88"/>
      <c r="D127" s="9"/>
      <c r="E127" s="303"/>
      <c r="G127" s="9"/>
    </row>
    <row r="128" spans="1:10" ht="13.5" thickBot="1" x14ac:dyDescent="0.25">
      <c r="A128" s="57" t="s">
        <v>64</v>
      </c>
      <c r="B128" s="58" t="s">
        <v>65</v>
      </c>
      <c r="C128" s="58" t="s">
        <v>42</v>
      </c>
      <c r="D128" s="59" t="s">
        <v>224</v>
      </c>
      <c r="E128" s="59" t="s">
        <v>66</v>
      </c>
      <c r="F128" s="60" t="s">
        <v>67</v>
      </c>
      <c r="G128" s="9"/>
    </row>
    <row r="129" spans="1:8" x14ac:dyDescent="0.2">
      <c r="A129" s="16" t="s">
        <v>89</v>
      </c>
      <c r="B129" s="17" t="s">
        <v>35</v>
      </c>
      <c r="C129" s="89">
        <v>1</v>
      </c>
      <c r="D129" s="87">
        <v>2.39</v>
      </c>
      <c r="E129" s="18"/>
      <c r="G129" s="9"/>
    </row>
    <row r="130" spans="1:8" x14ac:dyDescent="0.2">
      <c r="A130" s="16" t="s">
        <v>90</v>
      </c>
      <c r="B130" s="17" t="s">
        <v>91</v>
      </c>
      <c r="C130" s="86">
        <v>8</v>
      </c>
      <c r="D130" s="18"/>
      <c r="E130" s="18"/>
      <c r="G130" s="80"/>
      <c r="H130" s="80"/>
    </row>
    <row r="131" spans="1:8" x14ac:dyDescent="0.2">
      <c r="A131" s="16" t="s">
        <v>74</v>
      </c>
      <c r="B131" s="17" t="s">
        <v>9</v>
      </c>
      <c r="C131" s="36">
        <f>$C$130*2*(C68+C87)</f>
        <v>96</v>
      </c>
      <c r="D131" s="15">
        <f>D129-(E60/50*0.06)</f>
        <v>0.53051600000000021</v>
      </c>
      <c r="E131" s="18">
        <f>IFERROR(C131*D131,"-")</f>
        <v>50.92953600000002</v>
      </c>
      <c r="H131" s="80"/>
    </row>
    <row r="132" spans="1:8" ht="13.5" thickBot="1" x14ac:dyDescent="0.25">
      <c r="A132" s="13" t="s">
        <v>46</v>
      </c>
      <c r="B132" s="14" t="s">
        <v>9</v>
      </c>
      <c r="C132" s="36">
        <f>$C$130*2*(C124)</f>
        <v>32</v>
      </c>
      <c r="D132" s="15">
        <f>D129-(E92/50*0.06)</f>
        <v>0.23346800000000023</v>
      </c>
      <c r="E132" s="15">
        <f>IFERROR(C132*D132,"-")</f>
        <v>7.4709760000000074</v>
      </c>
      <c r="G132" s="9"/>
      <c r="H132" s="80"/>
    </row>
    <row r="133" spans="1:8" ht="13.5" thickBot="1" x14ac:dyDescent="0.25">
      <c r="F133" s="22">
        <f>SUM(E131:E132)</f>
        <v>58.400512000000028</v>
      </c>
      <c r="G133" s="9"/>
    </row>
    <row r="134" spans="1:8" ht="11.25" customHeight="1" x14ac:dyDescent="0.2">
      <c r="G134" s="9"/>
    </row>
    <row r="135" spans="1:8" ht="13.5" thickBot="1" x14ac:dyDescent="0.25">
      <c r="A135" s="7" t="s">
        <v>414</v>
      </c>
      <c r="F135" s="23"/>
      <c r="G135" s="9"/>
    </row>
    <row r="136" spans="1:8" ht="13.5" thickBot="1" x14ac:dyDescent="0.25">
      <c r="A136" s="57" t="s">
        <v>64</v>
      </c>
      <c r="B136" s="58" t="s">
        <v>65</v>
      </c>
      <c r="C136" s="58" t="s">
        <v>42</v>
      </c>
      <c r="D136" s="59" t="s">
        <v>224</v>
      </c>
      <c r="E136" s="59" t="s">
        <v>66</v>
      </c>
      <c r="F136" s="60" t="s">
        <v>67</v>
      </c>
      <c r="G136" s="9"/>
    </row>
    <row r="137" spans="1:8" x14ac:dyDescent="0.2">
      <c r="A137" s="16" t="str">
        <f>+A131</f>
        <v>Coletor</v>
      </c>
      <c r="B137" s="17" t="s">
        <v>10</v>
      </c>
      <c r="C137" s="95">
        <f>C130*(E44+E45)</f>
        <v>48</v>
      </c>
      <c r="D137" s="84">
        <f>20.18*0.81</f>
        <v>16.345800000000001</v>
      </c>
      <c r="E137" s="49">
        <f>C137*D137</f>
        <v>784.59840000000008</v>
      </c>
      <c r="F137" s="23"/>
      <c r="G137" s="9"/>
    </row>
    <row r="138" spans="1:8" x14ac:dyDescent="0.2">
      <c r="A138" s="299" t="s">
        <v>46</v>
      </c>
      <c r="B138" s="17" t="s">
        <v>10</v>
      </c>
      <c r="C138" s="95">
        <f>C130*(E47)</f>
        <v>16</v>
      </c>
      <c r="D138" s="84">
        <f>12.81*0.8</f>
        <v>10.248000000000001</v>
      </c>
      <c r="E138" s="49">
        <f>C138*D138</f>
        <v>163.96800000000002</v>
      </c>
      <c r="F138" s="23"/>
      <c r="G138" s="9"/>
    </row>
    <row r="139" spans="1:8" ht="13.5" thickBot="1" x14ac:dyDescent="0.25">
      <c r="A139" s="299" t="s">
        <v>357</v>
      </c>
      <c r="B139" s="17" t="s">
        <v>10</v>
      </c>
      <c r="C139" s="95">
        <v>2</v>
      </c>
      <c r="D139" s="84">
        <f>20.18*0.81</f>
        <v>16.345800000000001</v>
      </c>
      <c r="E139" s="49">
        <f>C139*D139</f>
        <v>32.691600000000001</v>
      </c>
      <c r="F139" s="23"/>
      <c r="G139" s="9"/>
    </row>
    <row r="140" spans="1:8" ht="13.5" thickBot="1" x14ac:dyDescent="0.25">
      <c r="F140" s="22">
        <f>SUM(E137:E139)</f>
        <v>981.25800000000015</v>
      </c>
      <c r="G140" s="9"/>
    </row>
    <row r="141" spans="1:8" x14ac:dyDescent="0.2">
      <c r="G141" s="9"/>
    </row>
    <row r="142" spans="1:8" ht="13.5" thickBot="1" x14ac:dyDescent="0.25">
      <c r="A142" s="7" t="s">
        <v>415</v>
      </c>
      <c r="F142" s="23"/>
      <c r="G142" s="9"/>
    </row>
    <row r="143" spans="1:8" ht="13.5" thickBot="1" x14ac:dyDescent="0.25">
      <c r="A143" s="57" t="s">
        <v>64</v>
      </c>
      <c r="B143" s="58" t="s">
        <v>65</v>
      </c>
      <c r="C143" s="58" t="s">
        <v>42</v>
      </c>
      <c r="D143" s="59" t="s">
        <v>224</v>
      </c>
      <c r="E143" s="59" t="s">
        <v>66</v>
      </c>
      <c r="F143" s="60" t="s">
        <v>67</v>
      </c>
      <c r="G143" s="9"/>
    </row>
    <row r="144" spans="1:8" hidden="1" x14ac:dyDescent="0.2">
      <c r="A144" s="16" t="str">
        <f>+A137</f>
        <v>Coletor</v>
      </c>
      <c r="B144" s="17" t="s">
        <v>10</v>
      </c>
      <c r="C144" s="95">
        <f>E44+E45</f>
        <v>6</v>
      </c>
      <c r="D144" s="84"/>
      <c r="E144" s="49">
        <f>C144*D144</f>
        <v>0</v>
      </c>
      <c r="F144" s="23"/>
      <c r="G144" s="9"/>
    </row>
    <row r="145" spans="1:7" ht="13.5" thickBot="1" x14ac:dyDescent="0.25">
      <c r="A145" s="16" t="str">
        <f>A138</f>
        <v>Motorista</v>
      </c>
      <c r="B145" s="17" t="s">
        <v>10</v>
      </c>
      <c r="C145" s="95">
        <f>E46</f>
        <v>1</v>
      </c>
      <c r="D145" s="84">
        <f>97.24*0.8</f>
        <v>77.792000000000002</v>
      </c>
      <c r="E145" s="49">
        <f>C145*D145</f>
        <v>77.792000000000002</v>
      </c>
      <c r="F145" s="23"/>
      <c r="G145" s="9"/>
    </row>
    <row r="146" spans="1:7" ht="13.5" thickBot="1" x14ac:dyDescent="0.25">
      <c r="D146" s="115" t="s">
        <v>185</v>
      </c>
      <c r="E146" s="287">
        <f>E125</f>
        <v>0.42045454545454547</v>
      </c>
      <c r="F146" s="22">
        <f>SUM(E144:E145)*E146</f>
        <v>32.707999999999998</v>
      </c>
      <c r="G146" s="9"/>
    </row>
    <row r="147" spans="1:7" x14ac:dyDescent="0.2">
      <c r="D147" s="115"/>
      <c r="E147" s="336"/>
      <c r="G147" s="9"/>
    </row>
    <row r="148" spans="1:7" ht="13.5" thickBot="1" x14ac:dyDescent="0.25">
      <c r="A148" s="7" t="s">
        <v>416</v>
      </c>
      <c r="B148" s="7"/>
      <c r="C148" s="7"/>
      <c r="D148" s="306"/>
      <c r="E148" s="306"/>
      <c r="F148" s="23"/>
      <c r="G148" s="9"/>
    </row>
    <row r="149" spans="1:7" ht="13.5" thickBot="1" x14ac:dyDescent="0.25">
      <c r="A149" s="57" t="s">
        <v>64</v>
      </c>
      <c r="B149" s="58" t="s">
        <v>65</v>
      </c>
      <c r="C149" s="58" t="s">
        <v>42</v>
      </c>
      <c r="D149" s="59" t="s">
        <v>224</v>
      </c>
      <c r="E149" s="59" t="s">
        <v>66</v>
      </c>
      <c r="F149" s="60" t="s">
        <v>67</v>
      </c>
      <c r="G149" s="9"/>
    </row>
    <row r="150" spans="1:7" ht="13.5" thickBot="1" x14ac:dyDescent="0.25">
      <c r="A150" s="299" t="s">
        <v>377</v>
      </c>
      <c r="B150" s="333" t="s">
        <v>10</v>
      </c>
      <c r="C150" s="337">
        <f>C87</f>
        <v>6</v>
      </c>
      <c r="D150" s="338">
        <v>17.32</v>
      </c>
      <c r="E150" s="339">
        <f>C150*D150</f>
        <v>103.92</v>
      </c>
      <c r="F150" s="23"/>
      <c r="G150" s="9"/>
    </row>
    <row r="151" spans="1:7" ht="13.5" hidden="1" thickBot="1" x14ac:dyDescent="0.25">
      <c r="A151" s="299"/>
      <c r="B151" s="333" t="s">
        <v>10</v>
      </c>
      <c r="C151" s="337">
        <v>0</v>
      </c>
      <c r="D151" s="338">
        <v>0</v>
      </c>
      <c r="E151" s="339"/>
      <c r="F151" s="23"/>
      <c r="G151" s="9"/>
    </row>
    <row r="152" spans="1:7" ht="13.5" thickBot="1" x14ac:dyDescent="0.25">
      <c r="A152" s="340"/>
      <c r="B152" s="340"/>
      <c r="C152" s="7"/>
      <c r="D152" s="308" t="s">
        <v>376</v>
      </c>
      <c r="E152" s="347">
        <f>E69</f>
        <v>0.36363636363636365</v>
      </c>
      <c r="F152" s="341">
        <f>SUM(E150:E151)*E152</f>
        <v>37.789090909090909</v>
      </c>
      <c r="G152" s="9"/>
    </row>
    <row r="153" spans="1:7" ht="13.5" thickBot="1" x14ac:dyDescent="0.25">
      <c r="D153" s="115"/>
      <c r="E153" s="336"/>
      <c r="G153" s="9"/>
    </row>
    <row r="154" spans="1:7" ht="13.5" thickBot="1" x14ac:dyDescent="0.25">
      <c r="A154" s="24" t="s">
        <v>92</v>
      </c>
      <c r="B154" s="25"/>
      <c r="C154" s="25"/>
      <c r="D154" s="26"/>
      <c r="E154" s="27"/>
      <c r="F154" s="22">
        <f>F146+F140+F133+F125+F103+F88+F69+F152</f>
        <v>12496.857265657394</v>
      </c>
      <c r="G154" s="9"/>
    </row>
    <row r="156" spans="1:7" x14ac:dyDescent="0.2">
      <c r="A156" s="11" t="s">
        <v>47</v>
      </c>
      <c r="G156" s="9"/>
    </row>
    <row r="157" spans="1:7" ht="11.25" customHeight="1" x14ac:dyDescent="0.2">
      <c r="G157" s="9"/>
    </row>
    <row r="158" spans="1:7" ht="13.9" customHeight="1" x14ac:dyDescent="0.2">
      <c r="A158" s="9" t="s">
        <v>187</v>
      </c>
      <c r="G158" s="9"/>
    </row>
    <row r="159" spans="1:7" ht="11.25" customHeight="1" thickBot="1" x14ac:dyDescent="0.25">
      <c r="G159" s="9"/>
    </row>
    <row r="160" spans="1:7" ht="27.75" customHeight="1" thickBot="1" x14ac:dyDescent="0.25">
      <c r="A160" s="57" t="s">
        <v>64</v>
      </c>
      <c r="B160" s="58" t="s">
        <v>65</v>
      </c>
      <c r="C160" s="248" t="s">
        <v>246</v>
      </c>
      <c r="D160" s="59" t="s">
        <v>224</v>
      </c>
      <c r="E160" s="59" t="s">
        <v>66</v>
      </c>
      <c r="F160" s="60" t="s">
        <v>67</v>
      </c>
      <c r="G160" s="9"/>
    </row>
    <row r="161" spans="1:7" x14ac:dyDescent="0.2">
      <c r="A161" s="13" t="s">
        <v>68</v>
      </c>
      <c r="B161" s="14" t="s">
        <v>10</v>
      </c>
      <c r="C161" s="298">
        <v>12</v>
      </c>
      <c r="D161" s="285">
        <v>110</v>
      </c>
      <c r="E161" s="15">
        <f>IFERROR(D161/C161,0)</f>
        <v>9.1666666666666661</v>
      </c>
      <c r="G161" s="9"/>
    </row>
    <row r="162" spans="1:7" ht="13.15" customHeight="1" x14ac:dyDescent="0.2">
      <c r="A162" s="16" t="s">
        <v>30</v>
      </c>
      <c r="B162" s="17" t="s">
        <v>10</v>
      </c>
      <c r="C162" s="298">
        <v>4</v>
      </c>
      <c r="D162" s="297">
        <v>35</v>
      </c>
      <c r="E162" s="15">
        <f t="shared" ref="E162:E172" si="1">IFERROR(D162/C162,0)</f>
        <v>8.75</v>
      </c>
      <c r="G162" s="9"/>
    </row>
    <row r="163" spans="1:7" ht="13.15" customHeight="1" x14ac:dyDescent="0.2">
      <c r="A163" s="299" t="s">
        <v>429</v>
      </c>
      <c r="B163" s="17" t="s">
        <v>10</v>
      </c>
      <c r="C163" s="298">
        <v>4</v>
      </c>
      <c r="D163" s="297">
        <v>27</v>
      </c>
      <c r="E163" s="15">
        <f t="shared" si="1"/>
        <v>6.75</v>
      </c>
      <c r="G163" s="9"/>
    </row>
    <row r="164" spans="1:7" x14ac:dyDescent="0.2">
      <c r="A164" s="299" t="s">
        <v>430</v>
      </c>
      <c r="B164" s="17" t="s">
        <v>10</v>
      </c>
      <c r="C164" s="298">
        <v>3</v>
      </c>
      <c r="D164" s="297">
        <v>35</v>
      </c>
      <c r="E164" s="15">
        <f t="shared" si="1"/>
        <v>11.666666666666666</v>
      </c>
      <c r="G164" s="9"/>
    </row>
    <row r="165" spans="1:7" x14ac:dyDescent="0.2">
      <c r="A165" s="299" t="s">
        <v>430</v>
      </c>
      <c r="B165" s="17" t="s">
        <v>10</v>
      </c>
      <c r="C165" s="298">
        <v>3</v>
      </c>
      <c r="D165" s="297">
        <v>37</v>
      </c>
      <c r="E165" s="15">
        <f t="shared" si="1"/>
        <v>12.333333333333334</v>
      </c>
      <c r="G165" s="9"/>
    </row>
    <row r="166" spans="1:7" ht="13.15" customHeight="1" x14ac:dyDescent="0.2">
      <c r="A166" s="16" t="s">
        <v>32</v>
      </c>
      <c r="B166" s="17" t="s">
        <v>10</v>
      </c>
      <c r="C166" s="298">
        <v>6</v>
      </c>
      <c r="D166" s="297">
        <v>21</v>
      </c>
      <c r="E166" s="15">
        <f t="shared" si="1"/>
        <v>3.5</v>
      </c>
      <c r="G166" s="9"/>
    </row>
    <row r="167" spans="1:7" ht="13.9" customHeight="1" x14ac:dyDescent="0.2">
      <c r="A167" s="299" t="s">
        <v>559</v>
      </c>
      <c r="B167" s="17" t="s">
        <v>50</v>
      </c>
      <c r="C167" s="298">
        <v>6</v>
      </c>
      <c r="D167" s="297">
        <v>60</v>
      </c>
      <c r="E167" s="15">
        <f t="shared" si="1"/>
        <v>10</v>
      </c>
      <c r="G167" s="9"/>
    </row>
    <row r="168" spans="1:7" ht="13.15" customHeight="1" x14ac:dyDescent="0.2">
      <c r="A168" s="16" t="s">
        <v>93</v>
      </c>
      <c r="B168" s="17" t="s">
        <v>50</v>
      </c>
      <c r="C168" s="298">
        <v>2</v>
      </c>
      <c r="D168" s="297">
        <v>10</v>
      </c>
      <c r="E168" s="15">
        <f t="shared" si="1"/>
        <v>5</v>
      </c>
    </row>
    <row r="169" spans="1:7" x14ac:dyDescent="0.2">
      <c r="A169" s="16" t="s">
        <v>69</v>
      </c>
      <c r="B169" s="17" t="s">
        <v>10</v>
      </c>
      <c r="C169" s="298">
        <v>8</v>
      </c>
      <c r="D169" s="297">
        <v>32</v>
      </c>
      <c r="E169" s="15">
        <f t="shared" si="1"/>
        <v>4</v>
      </c>
    </row>
    <row r="170" spans="1:7" s="1" customFormat="1" x14ac:dyDescent="0.2">
      <c r="A170" s="2" t="s">
        <v>11</v>
      </c>
      <c r="B170" s="3" t="s">
        <v>10</v>
      </c>
      <c r="C170" s="298">
        <v>4</v>
      </c>
      <c r="D170" s="297">
        <v>30</v>
      </c>
      <c r="E170" s="15">
        <f t="shared" si="1"/>
        <v>7.5</v>
      </c>
      <c r="F170" s="37"/>
      <c r="G170" s="37"/>
    </row>
    <row r="171" spans="1:7" x14ac:dyDescent="0.2">
      <c r="A171" s="16" t="s">
        <v>33</v>
      </c>
      <c r="B171" s="17" t="s">
        <v>50</v>
      </c>
      <c r="C171" s="298">
        <v>2</v>
      </c>
      <c r="D171" s="297">
        <v>10</v>
      </c>
      <c r="E171" s="15">
        <f t="shared" si="1"/>
        <v>5</v>
      </c>
    </row>
    <row r="172" spans="1:7" ht="13.15" customHeight="1" x14ac:dyDescent="0.2">
      <c r="A172" s="16" t="s">
        <v>63</v>
      </c>
      <c r="B172" s="17" t="s">
        <v>51</v>
      </c>
      <c r="C172" s="298">
        <v>2</v>
      </c>
      <c r="D172" s="297">
        <v>20</v>
      </c>
      <c r="E172" s="15">
        <f t="shared" si="1"/>
        <v>10</v>
      </c>
    </row>
    <row r="173" spans="1:7" ht="13.5" thickBot="1" x14ac:dyDescent="0.25">
      <c r="A173" s="16" t="s">
        <v>5</v>
      </c>
      <c r="B173" s="17" t="s">
        <v>6</v>
      </c>
      <c r="C173" s="66">
        <f>E44+E45</f>
        <v>6</v>
      </c>
      <c r="D173" s="18">
        <f>+SUM(E161:E172)</f>
        <v>93.666666666666657</v>
      </c>
      <c r="E173" s="18">
        <f t="shared" ref="E173" si="2">C173*D173</f>
        <v>562</v>
      </c>
    </row>
    <row r="174" spans="1:7" ht="13.5" thickBot="1" x14ac:dyDescent="0.25">
      <c r="D174" s="115" t="s">
        <v>185</v>
      </c>
      <c r="E174" s="287">
        <f>$B$54</f>
        <v>0.36363636363636365</v>
      </c>
      <c r="F174" s="116">
        <f>E173*E174</f>
        <v>204.36363636363637</v>
      </c>
    </row>
    <row r="175" spans="1:7" ht="11.25" customHeight="1" x14ac:dyDescent="0.2"/>
    <row r="176" spans="1:7" ht="13.9" customHeight="1" x14ac:dyDescent="0.2">
      <c r="A176" s="9" t="s">
        <v>188</v>
      </c>
    </row>
    <row r="177" spans="1:7" ht="11.25" customHeight="1" thickBot="1" x14ac:dyDescent="0.25"/>
    <row r="178" spans="1:7" ht="24.75" thickBot="1" x14ac:dyDescent="0.25">
      <c r="A178" s="57" t="s">
        <v>64</v>
      </c>
      <c r="B178" s="58" t="s">
        <v>65</v>
      </c>
      <c r="C178" s="248" t="s">
        <v>246</v>
      </c>
      <c r="D178" s="59" t="s">
        <v>224</v>
      </c>
      <c r="E178" s="59" t="s">
        <v>66</v>
      </c>
      <c r="F178" s="60" t="s">
        <v>67</v>
      </c>
    </row>
    <row r="179" spans="1:7" x14ac:dyDescent="0.2">
      <c r="A179" s="13" t="s">
        <v>68</v>
      </c>
      <c r="B179" s="14" t="s">
        <v>10</v>
      </c>
      <c r="C179" s="301">
        <f>C161</f>
        <v>12</v>
      </c>
      <c r="D179" s="15">
        <f>+D161</f>
        <v>110</v>
      </c>
      <c r="E179" s="15">
        <f>IFERROR(D179/C179,0)</f>
        <v>9.1666666666666661</v>
      </c>
    </row>
    <row r="180" spans="1:7" x14ac:dyDescent="0.2">
      <c r="A180" s="16" t="s">
        <v>30</v>
      </c>
      <c r="B180" s="17" t="s">
        <v>10</v>
      </c>
      <c r="C180" s="301">
        <f>C162</f>
        <v>4</v>
      </c>
      <c r="D180" s="18">
        <f>+D162</f>
        <v>35</v>
      </c>
      <c r="E180" s="15">
        <f t="shared" ref="E180:E184" si="3">IFERROR(D180/C180,0)</f>
        <v>8.75</v>
      </c>
    </row>
    <row r="181" spans="1:7" x14ac:dyDescent="0.2">
      <c r="A181" s="16" t="s">
        <v>31</v>
      </c>
      <c r="B181" s="17" t="s">
        <v>10</v>
      </c>
      <c r="C181" s="301">
        <f>C164</f>
        <v>3</v>
      </c>
      <c r="D181" s="18">
        <f>+D164</f>
        <v>35</v>
      </c>
      <c r="E181" s="15">
        <f t="shared" si="3"/>
        <v>11.666666666666666</v>
      </c>
    </row>
    <row r="182" spans="1:7" x14ac:dyDescent="0.2">
      <c r="A182" s="299" t="s">
        <v>559</v>
      </c>
      <c r="B182" s="17" t="s">
        <v>50</v>
      </c>
      <c r="C182" s="301">
        <f>C167</f>
        <v>6</v>
      </c>
      <c r="D182" s="18">
        <f>+D167</f>
        <v>60</v>
      </c>
      <c r="E182" s="15">
        <f t="shared" si="3"/>
        <v>10</v>
      </c>
    </row>
    <row r="183" spans="1:7" x14ac:dyDescent="0.2">
      <c r="A183" s="16" t="s">
        <v>69</v>
      </c>
      <c r="B183" s="17" t="s">
        <v>10</v>
      </c>
      <c r="C183" s="301">
        <f>C169</f>
        <v>8</v>
      </c>
      <c r="D183" s="18">
        <f>+D169</f>
        <v>32</v>
      </c>
      <c r="E183" s="15">
        <f t="shared" si="3"/>
        <v>4</v>
      </c>
      <c r="G183" s="9"/>
    </row>
    <row r="184" spans="1:7" x14ac:dyDescent="0.2">
      <c r="A184" s="16" t="s">
        <v>63</v>
      </c>
      <c r="B184" s="17" t="s">
        <v>51</v>
      </c>
      <c r="C184" s="301">
        <f>C172</f>
        <v>2</v>
      </c>
      <c r="D184" s="18">
        <f>+D172</f>
        <v>20</v>
      </c>
      <c r="E184" s="15">
        <f t="shared" si="3"/>
        <v>10</v>
      </c>
      <c r="G184" s="9"/>
    </row>
    <row r="185" spans="1:7" ht="13.5" thickBot="1" x14ac:dyDescent="0.25">
      <c r="A185" s="16" t="s">
        <v>5</v>
      </c>
      <c r="B185" s="17" t="s">
        <v>6</v>
      </c>
      <c r="C185" s="66">
        <f>E47</f>
        <v>2</v>
      </c>
      <c r="D185" s="18">
        <f>+SUM(E179:E184)</f>
        <v>53.583333333333329</v>
      </c>
      <c r="E185" s="18">
        <f t="shared" ref="E185" si="4">C185*D185</f>
        <v>107.16666666666666</v>
      </c>
      <c r="G185" s="9"/>
    </row>
    <row r="186" spans="1:7" ht="13.5" thickBot="1" x14ac:dyDescent="0.25">
      <c r="D186" s="115" t="s">
        <v>185</v>
      </c>
      <c r="E186" s="287">
        <f>E125</f>
        <v>0.42045454545454547</v>
      </c>
      <c r="F186" s="116">
        <f>E185*E186</f>
        <v>45.058712121212118</v>
      </c>
      <c r="G186" s="9"/>
    </row>
    <row r="187" spans="1:7" ht="11.25" customHeight="1" thickBot="1" x14ac:dyDescent="0.25">
      <c r="G187" s="9"/>
    </row>
    <row r="188" spans="1:7" ht="13.5" thickBot="1" x14ac:dyDescent="0.25">
      <c r="A188" s="24" t="s">
        <v>189</v>
      </c>
      <c r="B188" s="28"/>
      <c r="C188" s="28"/>
      <c r="D188" s="29"/>
      <c r="E188" s="30"/>
      <c r="F188" s="21">
        <f>+F174+F186</f>
        <v>249.4223484848485</v>
      </c>
      <c r="G188" s="9"/>
    </row>
    <row r="189" spans="1:7" ht="11.25" customHeight="1" x14ac:dyDescent="0.2">
      <c r="G189" s="9"/>
    </row>
    <row r="190" spans="1:7" x14ac:dyDescent="0.2">
      <c r="A190" s="11" t="s">
        <v>56</v>
      </c>
      <c r="G190" s="9"/>
    </row>
    <row r="191" spans="1:7" ht="11.25" customHeight="1" x14ac:dyDescent="0.2">
      <c r="B191" s="100"/>
      <c r="G191" s="9"/>
    </row>
    <row r="192" spans="1:7" x14ac:dyDescent="0.2">
      <c r="A192" s="7" t="s">
        <v>353</v>
      </c>
      <c r="G192" s="9"/>
    </row>
    <row r="193" spans="1:10" ht="11.25" customHeight="1" x14ac:dyDescent="0.2">
      <c r="G193" s="9"/>
    </row>
    <row r="194" spans="1:10" ht="13.5" thickBot="1" x14ac:dyDescent="0.25">
      <c r="A194" s="100" t="s">
        <v>48</v>
      </c>
      <c r="G194" s="9"/>
    </row>
    <row r="195" spans="1:10" ht="13.5" thickBot="1" x14ac:dyDescent="0.25">
      <c r="A195" s="57" t="s">
        <v>64</v>
      </c>
      <c r="B195" s="58" t="s">
        <v>65</v>
      </c>
      <c r="C195" s="58" t="s">
        <v>42</v>
      </c>
      <c r="D195" s="59" t="s">
        <v>224</v>
      </c>
      <c r="E195" s="59" t="s">
        <v>66</v>
      </c>
      <c r="F195" s="60" t="s">
        <v>67</v>
      </c>
      <c r="G195" s="9"/>
    </row>
    <row r="196" spans="1:10" x14ac:dyDescent="0.2">
      <c r="A196" s="13" t="s">
        <v>103</v>
      </c>
      <c r="B196" s="14" t="s">
        <v>10</v>
      </c>
      <c r="C196" s="14">
        <v>1</v>
      </c>
      <c r="D196" s="82">
        <v>241000</v>
      </c>
      <c r="E196" s="15">
        <f>C196*D196</f>
        <v>241000</v>
      </c>
      <c r="G196" s="9"/>
    </row>
    <row r="197" spans="1:10" x14ac:dyDescent="0.2">
      <c r="A197" s="16" t="s">
        <v>100</v>
      </c>
      <c r="B197" s="17" t="s">
        <v>101</v>
      </c>
      <c r="C197" s="81">
        <v>10</v>
      </c>
      <c r="D197" s="78"/>
      <c r="E197" s="18"/>
      <c r="G197" s="9"/>
    </row>
    <row r="198" spans="1:10" x14ac:dyDescent="0.2">
      <c r="A198" s="16" t="s">
        <v>202</v>
      </c>
      <c r="B198" s="17" t="s">
        <v>101</v>
      </c>
      <c r="C198" s="81">
        <v>0</v>
      </c>
      <c r="D198" s="18"/>
      <c r="E198" s="18"/>
      <c r="F198" s="20"/>
      <c r="I198" s="80"/>
      <c r="J198" s="80"/>
    </row>
    <row r="199" spans="1:10" x14ac:dyDescent="0.2">
      <c r="A199" s="16" t="s">
        <v>102</v>
      </c>
      <c r="B199" s="17" t="s">
        <v>2</v>
      </c>
      <c r="C199" s="131">
        <f>IFERROR(VLOOKUP(C197,'13. Depr'!A3:B17,2,FALSE),0)</f>
        <v>65.180000000000007</v>
      </c>
      <c r="D199" s="18">
        <f>E196</f>
        <v>241000</v>
      </c>
      <c r="E199" s="18">
        <f>C199*D199/100</f>
        <v>157083.80000000002</v>
      </c>
    </row>
    <row r="200" spans="1:10" ht="13.5" thickBot="1" x14ac:dyDescent="0.25">
      <c r="A200" s="255" t="s">
        <v>52</v>
      </c>
      <c r="B200" s="256" t="s">
        <v>8</v>
      </c>
      <c r="C200" s="256">
        <f>C197*12</f>
        <v>120</v>
      </c>
      <c r="D200" s="257">
        <f>IF(C198&lt;=C197,E199,0)</f>
        <v>157083.80000000002</v>
      </c>
      <c r="E200" s="257">
        <f>IFERROR(D200/C200,0)</f>
        <v>1309.0316666666668</v>
      </c>
    </row>
    <row r="201" spans="1:10" ht="13.5" thickTop="1" x14ac:dyDescent="0.2">
      <c r="A201" s="278" t="s">
        <v>354</v>
      </c>
      <c r="B201" s="14" t="s">
        <v>10</v>
      </c>
      <c r="C201" s="14">
        <f>C196</f>
        <v>1</v>
      </c>
      <c r="D201" s="82">
        <v>110000</v>
      </c>
      <c r="E201" s="15">
        <f>C201*D201</f>
        <v>110000</v>
      </c>
      <c r="G201" s="9"/>
    </row>
    <row r="202" spans="1:10" x14ac:dyDescent="0.2">
      <c r="A202" s="299" t="s">
        <v>100</v>
      </c>
      <c r="B202" s="17" t="s">
        <v>101</v>
      </c>
      <c r="C202" s="81">
        <v>10</v>
      </c>
      <c r="D202" s="18"/>
      <c r="E202" s="18"/>
    </row>
    <row r="203" spans="1:10" x14ac:dyDescent="0.2">
      <c r="A203" s="299" t="s">
        <v>355</v>
      </c>
      <c r="B203" s="17" t="s">
        <v>101</v>
      </c>
      <c r="C203" s="81">
        <v>0</v>
      </c>
      <c r="D203" s="18"/>
      <c r="E203" s="18"/>
      <c r="F203" s="20"/>
      <c r="I203" s="80"/>
      <c r="J203" s="80"/>
    </row>
    <row r="204" spans="1:10" x14ac:dyDescent="0.2">
      <c r="A204" s="299" t="s">
        <v>102</v>
      </c>
      <c r="B204" s="17" t="s">
        <v>2</v>
      </c>
      <c r="C204" s="132">
        <f>IFERROR(VLOOKUP(C202,'13. Depr'!A3:B17,2,FALSE),0)</f>
        <v>65.180000000000007</v>
      </c>
      <c r="D204" s="18">
        <f>E201</f>
        <v>110000</v>
      </c>
      <c r="E204" s="18">
        <f>C204*D204/100</f>
        <v>71698.000000000015</v>
      </c>
    </row>
    <row r="205" spans="1:10" x14ac:dyDescent="0.2">
      <c r="A205" s="96" t="s">
        <v>356</v>
      </c>
      <c r="B205" s="97" t="s">
        <v>8</v>
      </c>
      <c r="C205" s="97">
        <f>C202*12</f>
        <v>120</v>
      </c>
      <c r="D205" s="98">
        <f>IF(C203&lt;=C202,E204,0)</f>
        <v>71698.000000000015</v>
      </c>
      <c r="E205" s="98">
        <f>IFERROR(D205/C205,0)</f>
        <v>597.48333333333346</v>
      </c>
    </row>
    <row r="206" spans="1:10" x14ac:dyDescent="0.2">
      <c r="A206" s="96" t="s">
        <v>397</v>
      </c>
      <c r="B206" s="97" t="s">
        <v>8</v>
      </c>
      <c r="C206" s="97">
        <v>1</v>
      </c>
      <c r="D206" s="98">
        <f>IF(C204&lt;=C203,E205,0)</f>
        <v>0</v>
      </c>
      <c r="E206" s="98">
        <f>(E200+E205)*0.1</f>
        <v>190.65150000000006</v>
      </c>
    </row>
    <row r="207" spans="1:10" x14ac:dyDescent="0.2">
      <c r="A207" s="109" t="s">
        <v>249</v>
      </c>
      <c r="B207" s="110"/>
      <c r="C207" s="110"/>
      <c r="D207" s="111"/>
      <c r="E207" s="112">
        <f>E200+E205+E206</f>
        <v>2097.1665000000003</v>
      </c>
    </row>
    <row r="208" spans="1:10" ht="13.5" thickBot="1" x14ac:dyDescent="0.25">
      <c r="A208" s="96" t="s">
        <v>250</v>
      </c>
      <c r="B208" s="97" t="s">
        <v>10</v>
      </c>
      <c r="C208" s="81">
        <v>2</v>
      </c>
      <c r="D208" s="98">
        <f>E207</f>
        <v>2097.1665000000003</v>
      </c>
      <c r="E208" s="112">
        <f>C208*D208</f>
        <v>4194.3330000000005</v>
      </c>
    </row>
    <row r="209" spans="1:10" ht="13.5" thickBot="1" x14ac:dyDescent="0.25">
      <c r="A209" s="253"/>
      <c r="B209" s="253"/>
      <c r="C209" s="253"/>
      <c r="D209" s="115" t="s">
        <v>185</v>
      </c>
      <c r="E209" s="287">
        <f>1-'1. Coleta Orgânica'!E209</f>
        <v>0.34089999999999998</v>
      </c>
      <c r="F209" s="21">
        <f>E208*E209</f>
        <v>1429.8481197000001</v>
      </c>
    </row>
    <row r="210" spans="1:10" ht="11.25" customHeight="1" x14ac:dyDescent="0.2"/>
    <row r="211" spans="1:10" ht="13.5" thickBot="1" x14ac:dyDescent="0.25">
      <c r="A211" s="100" t="s">
        <v>107</v>
      </c>
    </row>
    <row r="212" spans="1:10" ht="13.5" thickBot="1" x14ac:dyDescent="0.25">
      <c r="A212" s="102" t="s">
        <v>64</v>
      </c>
      <c r="B212" s="103" t="s">
        <v>65</v>
      </c>
      <c r="C212" s="103" t="s">
        <v>42</v>
      </c>
      <c r="D212" s="59" t="s">
        <v>224</v>
      </c>
      <c r="E212" s="104" t="s">
        <v>66</v>
      </c>
      <c r="F212" s="60" t="s">
        <v>67</v>
      </c>
      <c r="I212" s="80"/>
      <c r="J212" s="80"/>
    </row>
    <row r="213" spans="1:10" x14ac:dyDescent="0.2">
      <c r="A213" s="16" t="s">
        <v>106</v>
      </c>
      <c r="B213" s="17" t="s">
        <v>10</v>
      </c>
      <c r="C213" s="14">
        <v>1</v>
      </c>
      <c r="D213" s="18">
        <f>D196</f>
        <v>241000</v>
      </c>
      <c r="E213" s="18">
        <f>C213*D213</f>
        <v>241000</v>
      </c>
      <c r="F213" s="20"/>
      <c r="I213" s="80"/>
      <c r="J213" s="80"/>
    </row>
    <row r="214" spans="1:10" x14ac:dyDescent="0.2">
      <c r="A214" s="16" t="s">
        <v>205</v>
      </c>
      <c r="B214" s="17" t="s">
        <v>2</v>
      </c>
      <c r="C214" s="83">
        <v>10</v>
      </c>
      <c r="D214" s="18"/>
      <c r="E214" s="18"/>
      <c r="F214" s="20"/>
      <c r="I214" s="80"/>
      <c r="J214" s="80"/>
    </row>
    <row r="215" spans="1:10" x14ac:dyDescent="0.2">
      <c r="A215" s="16" t="s">
        <v>203</v>
      </c>
      <c r="B215" s="17" t="s">
        <v>35</v>
      </c>
      <c r="C215" s="137">
        <f>IFERROR(IF(C198&lt;=C197,E196-(C199/(100*C197)*C198)*E196,E196-E199),0)</f>
        <v>241000</v>
      </c>
      <c r="D215" s="18"/>
      <c r="E215" s="18"/>
      <c r="F215" s="20"/>
      <c r="I215" s="80"/>
      <c r="J215" s="80"/>
    </row>
    <row r="216" spans="1:10" x14ac:dyDescent="0.2">
      <c r="A216" s="16" t="s">
        <v>109</v>
      </c>
      <c r="B216" s="17" t="s">
        <v>35</v>
      </c>
      <c r="C216" s="78">
        <f>IFERROR(IF(C198&gt;=C197,C215,((((C215)-(E196-E199))*(((C197-C198)+1)/(2*(C197-C198))))+(E196-E199))),0)</f>
        <v>170312.28999999998</v>
      </c>
      <c r="D216" s="18"/>
      <c r="E216" s="18"/>
      <c r="F216" s="20"/>
      <c r="I216" s="80"/>
      <c r="J216" s="80"/>
    </row>
    <row r="217" spans="1:10" ht="13.5" thickBot="1" x14ac:dyDescent="0.25">
      <c r="A217" s="255" t="s">
        <v>110</v>
      </c>
      <c r="B217" s="256" t="s">
        <v>35</v>
      </c>
      <c r="C217" s="256"/>
      <c r="D217" s="258">
        <f>C214*C216/12/100</f>
        <v>1419.2690833333334</v>
      </c>
      <c r="E217" s="257">
        <f>D217</f>
        <v>1419.2690833333334</v>
      </c>
      <c r="F217" s="20"/>
      <c r="I217" s="80"/>
      <c r="J217" s="80"/>
    </row>
    <row r="218" spans="1:10" ht="13.5" thickTop="1" x14ac:dyDescent="0.2">
      <c r="A218" s="278" t="s">
        <v>619</v>
      </c>
      <c r="B218" s="14" t="s">
        <v>10</v>
      </c>
      <c r="C218" s="14">
        <f>C201</f>
        <v>1</v>
      </c>
      <c r="D218" s="15">
        <f>D201</f>
        <v>110000</v>
      </c>
      <c r="E218" s="15">
        <f>C218*D218</f>
        <v>110000</v>
      </c>
      <c r="F218" s="20"/>
      <c r="I218" s="80"/>
      <c r="J218" s="80"/>
    </row>
    <row r="219" spans="1:10" x14ac:dyDescent="0.2">
      <c r="A219" s="299" t="s">
        <v>205</v>
      </c>
      <c r="B219" s="17" t="s">
        <v>2</v>
      </c>
      <c r="C219" s="646">
        <f>C214</f>
        <v>10</v>
      </c>
      <c r="D219" s="18"/>
      <c r="E219" s="18"/>
      <c r="F219" s="20"/>
      <c r="I219" s="80"/>
      <c r="J219" s="80"/>
    </row>
    <row r="220" spans="1:10" x14ac:dyDescent="0.2">
      <c r="A220" s="16" t="s">
        <v>204</v>
      </c>
      <c r="B220" s="17" t="s">
        <v>35</v>
      </c>
      <c r="C220" s="137">
        <f>IFERROR(IF(C203&lt;=C202,E201-(C204/(100*C202)*C203)*E201,E201-E204),0)</f>
        <v>110000</v>
      </c>
      <c r="D220" s="18"/>
      <c r="E220" s="18"/>
      <c r="F220" s="20"/>
      <c r="I220" s="80"/>
      <c r="J220" s="80"/>
    </row>
    <row r="221" spans="1:10" x14ac:dyDescent="0.2">
      <c r="A221" s="299" t="s">
        <v>393</v>
      </c>
      <c r="B221" s="17" t="s">
        <v>35</v>
      </c>
      <c r="C221" s="78">
        <f>IFERROR(IF(C203&gt;=C202,C220,((((C220)-(E201-E204))*(((C202-C203)+1)/(2*(C202-C203))))+(E201-E204))),0)</f>
        <v>77735.899999999994</v>
      </c>
      <c r="D221" s="18"/>
      <c r="E221" s="18"/>
      <c r="F221" s="20"/>
      <c r="I221" s="80"/>
      <c r="J221" s="80"/>
    </row>
    <row r="222" spans="1:10" x14ac:dyDescent="0.2">
      <c r="A222" s="96" t="s">
        <v>394</v>
      </c>
      <c r="B222" s="97" t="s">
        <v>35</v>
      </c>
      <c r="C222" s="97"/>
      <c r="D222" s="106">
        <f>C219*C221/12/100</f>
        <v>647.79916666666668</v>
      </c>
      <c r="E222" s="98">
        <f>D222</f>
        <v>647.79916666666668</v>
      </c>
      <c r="F222" s="20"/>
      <c r="I222" s="80"/>
      <c r="J222" s="80"/>
    </row>
    <row r="223" spans="1:10" x14ac:dyDescent="0.2">
      <c r="A223" s="96" t="s">
        <v>397</v>
      </c>
      <c r="B223" s="97" t="s">
        <v>8</v>
      </c>
      <c r="C223" s="97">
        <v>1</v>
      </c>
      <c r="D223" s="98"/>
      <c r="E223" s="98">
        <f>(E217+E222)*0.1</f>
        <v>206.70682500000004</v>
      </c>
      <c r="F223" s="20"/>
      <c r="I223" s="80"/>
      <c r="J223" s="80"/>
    </row>
    <row r="224" spans="1:10" x14ac:dyDescent="0.2">
      <c r="A224" s="109" t="s">
        <v>249</v>
      </c>
      <c r="B224" s="110"/>
      <c r="C224" s="110"/>
      <c r="D224" s="111"/>
      <c r="E224" s="112">
        <f>E217+E222+E223</f>
        <v>2273.7750750000005</v>
      </c>
      <c r="F224" s="20"/>
      <c r="G224" s="332"/>
      <c r="I224" s="80"/>
      <c r="J224" s="80"/>
    </row>
    <row r="225" spans="1:10" ht="13.5" thickBot="1" x14ac:dyDescent="0.25">
      <c r="A225" s="96" t="s">
        <v>250</v>
      </c>
      <c r="B225" s="97" t="s">
        <v>10</v>
      </c>
      <c r="C225" s="17">
        <f>C208</f>
        <v>2</v>
      </c>
      <c r="D225" s="98">
        <f>E224</f>
        <v>2273.7750750000005</v>
      </c>
      <c r="E225" s="112">
        <f>C225*D225</f>
        <v>4547.5501500000009</v>
      </c>
      <c r="F225" s="20"/>
      <c r="I225" s="80"/>
      <c r="J225" s="80"/>
    </row>
    <row r="226" spans="1:10" ht="13.5" thickBot="1" x14ac:dyDescent="0.25">
      <c r="C226" s="19"/>
      <c r="D226" s="115" t="s">
        <v>185</v>
      </c>
      <c r="E226" s="287">
        <f>E209</f>
        <v>0.34089999999999998</v>
      </c>
      <c r="F226" s="21">
        <f>E225*E226</f>
        <v>1550.2598461350003</v>
      </c>
      <c r="I226" s="80"/>
      <c r="J226" s="80"/>
    </row>
    <row r="227" spans="1:10" ht="11.25" customHeight="1" x14ac:dyDescent="0.2">
      <c r="I227" s="80"/>
      <c r="J227" s="80"/>
    </row>
    <row r="228" spans="1:10" ht="13.5" thickBot="1" x14ac:dyDescent="0.25">
      <c r="A228" s="9" t="s">
        <v>53</v>
      </c>
      <c r="I228" s="80"/>
      <c r="J228" s="80"/>
    </row>
    <row r="229" spans="1:10" ht="13.5" thickBot="1" x14ac:dyDescent="0.25">
      <c r="A229" s="57" t="s">
        <v>64</v>
      </c>
      <c r="B229" s="58" t="s">
        <v>65</v>
      </c>
      <c r="C229" s="58" t="s">
        <v>42</v>
      </c>
      <c r="D229" s="59" t="s">
        <v>224</v>
      </c>
      <c r="E229" s="59" t="s">
        <v>66</v>
      </c>
      <c r="F229" s="60" t="s">
        <v>67</v>
      </c>
      <c r="I229" s="80"/>
      <c r="J229" s="80"/>
    </row>
    <row r="230" spans="1:10" x14ac:dyDescent="0.2">
      <c r="A230" s="13" t="s">
        <v>12</v>
      </c>
      <c r="B230" s="14" t="s">
        <v>10</v>
      </c>
      <c r="C230" s="15">
        <f>C208</f>
        <v>2</v>
      </c>
      <c r="D230" s="15">
        <f>0.01*($C$215)</f>
        <v>2410</v>
      </c>
      <c r="E230" s="15">
        <f>C230*D230</f>
        <v>4820</v>
      </c>
      <c r="I230" s="80"/>
      <c r="J230" s="80"/>
    </row>
    <row r="231" spans="1:10" x14ac:dyDescent="0.2">
      <c r="A231" s="16" t="s">
        <v>184</v>
      </c>
      <c r="B231" s="17" t="s">
        <v>10</v>
      </c>
      <c r="C231" s="15">
        <f>C208</f>
        <v>2</v>
      </c>
      <c r="D231" s="84">
        <v>85.22</v>
      </c>
      <c r="E231" s="18">
        <f>C231*D231</f>
        <v>170.44</v>
      </c>
      <c r="I231" s="80"/>
      <c r="J231" s="80"/>
    </row>
    <row r="232" spans="1:10" x14ac:dyDescent="0.2">
      <c r="A232" s="16" t="s">
        <v>13</v>
      </c>
      <c r="B232" s="17" t="s">
        <v>10</v>
      </c>
      <c r="C232" s="15">
        <f>C208</f>
        <v>2</v>
      </c>
      <c r="D232" s="84">
        <f>2510*1.1</f>
        <v>2761</v>
      </c>
      <c r="E232" s="18">
        <f>C232*D232</f>
        <v>5522</v>
      </c>
      <c r="F232" s="31"/>
      <c r="I232" s="80"/>
      <c r="J232" s="80"/>
    </row>
    <row r="233" spans="1:10" ht="13.5" thickBot="1" x14ac:dyDescent="0.25">
      <c r="A233" s="96" t="s">
        <v>14</v>
      </c>
      <c r="B233" s="97" t="s">
        <v>8</v>
      </c>
      <c r="C233" s="97">
        <v>12</v>
      </c>
      <c r="D233" s="98">
        <f>SUM(E230:E232)</f>
        <v>10512.439999999999</v>
      </c>
      <c r="E233" s="98">
        <f>D233/C233</f>
        <v>876.03666666666652</v>
      </c>
      <c r="I233" s="80"/>
      <c r="J233" s="80"/>
    </row>
    <row r="234" spans="1:10" ht="13.5" thickBot="1" x14ac:dyDescent="0.25">
      <c r="D234" s="115" t="s">
        <v>185</v>
      </c>
      <c r="E234" s="287">
        <f>E226</f>
        <v>0.34089999999999998</v>
      </c>
      <c r="F234" s="116">
        <f>E233*E234</f>
        <v>298.6408996666666</v>
      </c>
      <c r="I234" s="80"/>
      <c r="J234" s="80"/>
    </row>
    <row r="235" spans="1:10" ht="11.25" customHeight="1" x14ac:dyDescent="0.2">
      <c r="I235" s="80"/>
      <c r="J235" s="80"/>
    </row>
    <row r="236" spans="1:10" x14ac:dyDescent="0.2">
      <c r="A236" s="9" t="s">
        <v>54</v>
      </c>
      <c r="B236" s="32"/>
      <c r="I236" s="80"/>
      <c r="J236" s="80"/>
    </row>
    <row r="237" spans="1:10" x14ac:dyDescent="0.2">
      <c r="B237" s="32"/>
      <c r="I237" s="80"/>
      <c r="J237" s="80"/>
    </row>
    <row r="238" spans="1:10" x14ac:dyDescent="0.2">
      <c r="A238" s="96" t="s">
        <v>112</v>
      </c>
      <c r="B238" s="305">
        <f>'12. Roteiros'!O35</f>
        <v>1600.7711142857142</v>
      </c>
      <c r="C238" s="473"/>
      <c r="I238" s="80"/>
      <c r="J238" s="80"/>
    </row>
    <row r="239" spans="1:10" ht="13.5" thickBot="1" x14ac:dyDescent="0.25">
      <c r="B239" s="32"/>
      <c r="I239" s="80"/>
      <c r="J239" s="80"/>
    </row>
    <row r="240" spans="1:10" ht="13.5" thickBot="1" x14ac:dyDescent="0.25">
      <c r="A240" s="57" t="s">
        <v>64</v>
      </c>
      <c r="B240" s="58" t="s">
        <v>65</v>
      </c>
      <c r="C240" s="58" t="s">
        <v>248</v>
      </c>
      <c r="D240" s="59" t="s">
        <v>224</v>
      </c>
      <c r="E240" s="59" t="s">
        <v>66</v>
      </c>
      <c r="F240" s="60" t="s">
        <v>67</v>
      </c>
      <c r="I240" s="80"/>
      <c r="J240" s="80"/>
    </row>
    <row r="241" spans="1:10" x14ac:dyDescent="0.2">
      <c r="A241" s="13" t="s">
        <v>15</v>
      </c>
      <c r="B241" s="14" t="s">
        <v>16</v>
      </c>
      <c r="C241" s="91">
        <v>2.4</v>
      </c>
      <c r="D241" s="82">
        <v>6.4</v>
      </c>
      <c r="E241" s="15"/>
      <c r="I241" s="80"/>
      <c r="J241" s="80"/>
    </row>
    <row r="242" spans="1:10" x14ac:dyDescent="0.2">
      <c r="A242" s="16" t="s">
        <v>17</v>
      </c>
      <c r="B242" s="17" t="s">
        <v>18</v>
      </c>
      <c r="C242" s="89">
        <f>B238</f>
        <v>1600.7711142857142</v>
      </c>
      <c r="D242" s="252">
        <f>IFERROR(+D241/C241,"-")</f>
        <v>2.666666666666667</v>
      </c>
      <c r="E242" s="18">
        <f>IFERROR(C242*D242,"-")</f>
        <v>4268.7229714285722</v>
      </c>
      <c r="I242" s="80"/>
      <c r="J242" s="80"/>
    </row>
    <row r="243" spans="1:10" x14ac:dyDescent="0.2">
      <c r="A243" s="16" t="s">
        <v>225</v>
      </c>
      <c r="B243" s="17" t="s">
        <v>19</v>
      </c>
      <c r="C243" s="93">
        <v>1.33</v>
      </c>
      <c r="D243" s="84">
        <v>16</v>
      </c>
      <c r="E243" s="18"/>
      <c r="G243" s="105"/>
      <c r="I243" s="80"/>
      <c r="J243" s="80"/>
    </row>
    <row r="244" spans="1:10" x14ac:dyDescent="0.2">
      <c r="A244" s="16" t="s">
        <v>20</v>
      </c>
      <c r="B244" s="17" t="s">
        <v>18</v>
      </c>
      <c r="C244" s="89">
        <f>C242</f>
        <v>1600.7711142857142</v>
      </c>
      <c r="D244" s="249">
        <f>+C243*D243/1000</f>
        <v>2.128E-2</v>
      </c>
      <c r="E244" s="18">
        <f>C244*D244</f>
        <v>34.064409312000002</v>
      </c>
      <c r="G244" s="105"/>
      <c r="I244" s="80"/>
      <c r="J244" s="80"/>
    </row>
    <row r="245" spans="1:10" x14ac:dyDescent="0.2">
      <c r="A245" s="16" t="s">
        <v>226</v>
      </c>
      <c r="B245" s="17" t="s">
        <v>19</v>
      </c>
      <c r="C245" s="93">
        <v>0.18</v>
      </c>
      <c r="D245" s="84">
        <v>25</v>
      </c>
      <c r="E245" s="18"/>
      <c r="G245" s="105"/>
      <c r="I245" s="80"/>
      <c r="J245" s="80"/>
    </row>
    <row r="246" spans="1:10" x14ac:dyDescent="0.2">
      <c r="A246" s="16" t="s">
        <v>21</v>
      </c>
      <c r="B246" s="17" t="s">
        <v>18</v>
      </c>
      <c r="C246" s="89">
        <f>C242</f>
        <v>1600.7711142857142</v>
      </c>
      <c r="D246" s="249">
        <f>+C245*D245/1000</f>
        <v>4.4999999999999997E-3</v>
      </c>
      <c r="E246" s="18">
        <f>C246*D246</f>
        <v>7.2034700142857133</v>
      </c>
      <c r="G246" s="105"/>
      <c r="I246" s="80"/>
      <c r="J246" s="80"/>
    </row>
    <row r="247" spans="1:10" x14ac:dyDescent="0.2">
      <c r="A247" s="16" t="s">
        <v>227</v>
      </c>
      <c r="B247" s="17" t="s">
        <v>19</v>
      </c>
      <c r="C247" s="93">
        <v>2</v>
      </c>
      <c r="D247" s="84">
        <v>21</v>
      </c>
      <c r="E247" s="18"/>
      <c r="G247" s="105"/>
      <c r="I247" s="80"/>
      <c r="J247" s="80"/>
    </row>
    <row r="248" spans="1:10" x14ac:dyDescent="0.2">
      <c r="A248" s="16" t="s">
        <v>22</v>
      </c>
      <c r="B248" s="17" t="s">
        <v>18</v>
      </c>
      <c r="C248" s="89">
        <f>C242</f>
        <v>1600.7711142857142</v>
      </c>
      <c r="D248" s="249">
        <f>+C247*D247/1000</f>
        <v>4.2000000000000003E-2</v>
      </c>
      <c r="E248" s="18">
        <f>C248*D248</f>
        <v>67.2323868</v>
      </c>
      <c r="G248" s="105"/>
      <c r="I248" s="80"/>
      <c r="J248" s="80"/>
    </row>
    <row r="249" spans="1:10" x14ac:dyDescent="0.2">
      <c r="A249" s="299" t="s">
        <v>392</v>
      </c>
      <c r="B249" s="333" t="s">
        <v>19</v>
      </c>
      <c r="C249" s="343">
        <v>20</v>
      </c>
      <c r="D249" s="311">
        <v>4</v>
      </c>
      <c r="E249" s="307"/>
      <c r="G249" s="105"/>
      <c r="I249" s="80"/>
      <c r="J249" s="80"/>
    </row>
    <row r="250" spans="1:10" x14ac:dyDescent="0.2">
      <c r="A250" s="299" t="s">
        <v>391</v>
      </c>
      <c r="B250" s="333" t="s">
        <v>18</v>
      </c>
      <c r="C250" s="310">
        <f>C244</f>
        <v>1600.7711142857142</v>
      </c>
      <c r="D250" s="312">
        <f>+C249*D249/1000</f>
        <v>0.08</v>
      </c>
      <c r="E250" s="307">
        <f>C250*D250</f>
        <v>128.06168914285715</v>
      </c>
      <c r="G250" s="105"/>
      <c r="I250" s="80"/>
      <c r="J250" s="80"/>
    </row>
    <row r="251" spans="1:10" x14ac:dyDescent="0.2">
      <c r="A251" s="16" t="s">
        <v>23</v>
      </c>
      <c r="B251" s="17" t="s">
        <v>24</v>
      </c>
      <c r="C251" s="93">
        <v>1</v>
      </c>
      <c r="D251" s="84">
        <v>20</v>
      </c>
      <c r="E251" s="18"/>
      <c r="G251" s="105"/>
      <c r="I251" s="80"/>
      <c r="J251" s="80"/>
    </row>
    <row r="252" spans="1:10" x14ac:dyDescent="0.2">
      <c r="A252" s="16" t="s">
        <v>25</v>
      </c>
      <c r="B252" s="17" t="s">
        <v>18</v>
      </c>
      <c r="C252" s="89">
        <f>C242</f>
        <v>1600.7711142857142</v>
      </c>
      <c r="D252" s="249">
        <f>+C251*D251/1000</f>
        <v>0.02</v>
      </c>
      <c r="E252" s="18">
        <f>C252*D252</f>
        <v>32.015422285714287</v>
      </c>
      <c r="G252" s="105"/>
      <c r="I252" s="80"/>
      <c r="J252" s="80"/>
    </row>
    <row r="253" spans="1:10" ht="13.5" thickBot="1" x14ac:dyDescent="0.25">
      <c r="A253" s="96" t="s">
        <v>247</v>
      </c>
      <c r="B253" s="97" t="s">
        <v>113</v>
      </c>
      <c r="C253" s="250"/>
      <c r="D253" s="251">
        <f>IFERROR(D242+D244+D246+D248+D252,0)</f>
        <v>2.7544466666666669</v>
      </c>
      <c r="E253" s="18"/>
      <c r="G253" s="105"/>
      <c r="I253" s="80"/>
      <c r="J253" s="80"/>
    </row>
    <row r="254" spans="1:10" ht="13.5" thickBot="1" x14ac:dyDescent="0.25">
      <c r="F254" s="21">
        <f>SUM(E241:E252)</f>
        <v>4537.30034898343</v>
      </c>
      <c r="I254" s="80"/>
      <c r="J254" s="80"/>
    </row>
    <row r="255" spans="1:10" ht="11.25" customHeight="1" x14ac:dyDescent="0.2">
      <c r="I255" s="80"/>
      <c r="J255" s="80"/>
    </row>
    <row r="256" spans="1:10" ht="13.5" thickBot="1" x14ac:dyDescent="0.25">
      <c r="A256" s="9" t="s">
        <v>55</v>
      </c>
      <c r="I256" s="80"/>
      <c r="J256" s="80"/>
    </row>
    <row r="257" spans="1:10" ht="13.5" thickBot="1" x14ac:dyDescent="0.25">
      <c r="A257" s="57" t="s">
        <v>64</v>
      </c>
      <c r="B257" s="58" t="s">
        <v>65</v>
      </c>
      <c r="C257" s="58" t="s">
        <v>42</v>
      </c>
      <c r="D257" s="59" t="s">
        <v>224</v>
      </c>
      <c r="E257" s="59" t="s">
        <v>66</v>
      </c>
      <c r="F257" s="60" t="s">
        <v>67</v>
      </c>
      <c r="I257" s="80"/>
      <c r="J257" s="80"/>
    </row>
    <row r="258" spans="1:10" ht="13.5" thickBot="1" x14ac:dyDescent="0.25">
      <c r="A258" s="13" t="s">
        <v>111</v>
      </c>
      <c r="B258" s="14" t="s">
        <v>113</v>
      </c>
      <c r="C258" s="18">
        <f>C242</f>
        <v>1600.7711142857142</v>
      </c>
      <c r="D258" s="82">
        <v>0.55000000000000004</v>
      </c>
      <c r="E258" s="15">
        <f>C258*D258</f>
        <v>880.42411285714286</v>
      </c>
      <c r="I258" s="80"/>
      <c r="J258" s="80"/>
    </row>
    <row r="259" spans="1:10" ht="13.5" thickBot="1" x14ac:dyDescent="0.25">
      <c r="F259" s="21">
        <f>E258</f>
        <v>880.42411285714286</v>
      </c>
      <c r="I259" s="80"/>
      <c r="J259" s="80"/>
    </row>
    <row r="260" spans="1:10" ht="11.25" customHeight="1" x14ac:dyDescent="0.2">
      <c r="I260" s="80"/>
      <c r="J260" s="80"/>
    </row>
    <row r="261" spans="1:10" ht="13.5" thickBot="1" x14ac:dyDescent="0.25">
      <c r="A261" s="9" t="s">
        <v>62</v>
      </c>
      <c r="I261" s="80"/>
      <c r="J261" s="80"/>
    </row>
    <row r="262" spans="1:10" ht="13.5" thickBot="1" x14ac:dyDescent="0.25">
      <c r="A262" s="57" t="s">
        <v>64</v>
      </c>
      <c r="B262" s="58" t="s">
        <v>65</v>
      </c>
      <c r="C262" s="58" t="s">
        <v>42</v>
      </c>
      <c r="D262" s="59" t="s">
        <v>224</v>
      </c>
      <c r="E262" s="59" t="s">
        <v>66</v>
      </c>
      <c r="F262" s="60" t="s">
        <v>67</v>
      </c>
      <c r="I262" s="80"/>
      <c r="J262" s="80"/>
    </row>
    <row r="263" spans="1:10" x14ac:dyDescent="0.2">
      <c r="A263" s="278" t="s">
        <v>390</v>
      </c>
      <c r="B263" s="14" t="s">
        <v>10</v>
      </c>
      <c r="C263" s="90">
        <v>6</v>
      </c>
      <c r="D263" s="82">
        <v>2423</v>
      </c>
      <c r="E263" s="15">
        <f>C263*D263</f>
        <v>14538</v>
      </c>
      <c r="I263" s="80"/>
      <c r="J263" s="80"/>
    </row>
    <row r="264" spans="1:10" x14ac:dyDescent="0.2">
      <c r="A264" s="13" t="s">
        <v>114</v>
      </c>
      <c r="B264" s="14" t="s">
        <v>10</v>
      </c>
      <c r="C264" s="90">
        <v>2</v>
      </c>
      <c r="D264" s="99"/>
      <c r="E264" s="15"/>
      <c r="I264" s="80"/>
      <c r="J264" s="80"/>
    </row>
    <row r="265" spans="1:10" x14ac:dyDescent="0.2">
      <c r="A265" s="13" t="s">
        <v>71</v>
      </c>
      <c r="B265" s="14" t="s">
        <v>10</v>
      </c>
      <c r="C265" s="15">
        <f>C263*C264</f>
        <v>12</v>
      </c>
      <c r="D265" s="82">
        <v>600</v>
      </c>
      <c r="E265" s="15">
        <f>C265*D265</f>
        <v>7200</v>
      </c>
      <c r="I265" s="80"/>
      <c r="J265" s="80"/>
    </row>
    <row r="266" spans="1:10" x14ac:dyDescent="0.2">
      <c r="A266" s="16" t="s">
        <v>94</v>
      </c>
      <c r="B266" s="17" t="s">
        <v>26</v>
      </c>
      <c r="C266" s="92">
        <v>80000</v>
      </c>
      <c r="D266" s="18">
        <f>E263+E265</f>
        <v>21738</v>
      </c>
      <c r="E266" s="18">
        <f>IFERROR(D266/C266,"-")</f>
        <v>0.27172499999999999</v>
      </c>
      <c r="I266" s="80"/>
      <c r="J266" s="80"/>
    </row>
    <row r="267" spans="1:10" ht="13.5" thickBot="1" x14ac:dyDescent="0.25">
      <c r="A267" s="16" t="s">
        <v>57</v>
      </c>
      <c r="B267" s="17" t="s">
        <v>18</v>
      </c>
      <c r="C267" s="89">
        <f>B238</f>
        <v>1600.7711142857142</v>
      </c>
      <c r="D267" s="18">
        <f>E266</f>
        <v>0.27172499999999999</v>
      </c>
      <c r="E267" s="18">
        <f>IFERROR(C267*D267,0)</f>
        <v>434.96953102928569</v>
      </c>
      <c r="I267" s="80"/>
      <c r="J267" s="80"/>
    </row>
    <row r="268" spans="1:10" ht="13.5" thickBot="1" x14ac:dyDescent="0.25">
      <c r="F268" s="21">
        <f>E267</f>
        <v>434.96953102928569</v>
      </c>
      <c r="I268" s="80"/>
      <c r="J268" s="80"/>
    </row>
    <row r="269" spans="1:10" ht="11.25" customHeight="1" x14ac:dyDescent="0.2">
      <c r="I269" s="80"/>
      <c r="J269" s="80"/>
    </row>
    <row r="270" spans="1:10" ht="11.25" customHeight="1" thickBot="1" x14ac:dyDescent="0.25">
      <c r="G270" s="9"/>
    </row>
    <row r="271" spans="1:10" ht="13.5" thickBot="1" x14ac:dyDescent="0.25">
      <c r="A271" s="24" t="s">
        <v>217</v>
      </c>
      <c r="B271" s="25"/>
      <c r="C271" s="25"/>
      <c r="D271" s="26"/>
      <c r="E271" s="27"/>
      <c r="F271" s="21">
        <f>+SUM(F196:F270)</f>
        <v>9131.4428583715253</v>
      </c>
      <c r="G271" s="9"/>
    </row>
    <row r="272" spans="1:10" ht="11.25" customHeight="1" x14ac:dyDescent="0.2">
      <c r="G272" s="9"/>
    </row>
    <row r="273" spans="1:7" x14ac:dyDescent="0.2">
      <c r="A273" s="11" t="s">
        <v>412</v>
      </c>
      <c r="B273" s="11"/>
      <c r="C273" s="11"/>
      <c r="D273" s="34"/>
      <c r="E273" s="34"/>
      <c r="F273" s="33"/>
      <c r="G273" s="9"/>
    </row>
    <row r="274" spans="1:7" ht="11.25" customHeight="1" thickBot="1" x14ac:dyDescent="0.25">
      <c r="G274" s="9"/>
    </row>
    <row r="275" spans="1:7" ht="13.5" thickBot="1" x14ac:dyDescent="0.25">
      <c r="A275" s="57" t="s">
        <v>64</v>
      </c>
      <c r="B275" s="58" t="s">
        <v>65</v>
      </c>
      <c r="C275" s="58" t="s">
        <v>42</v>
      </c>
      <c r="D275" s="59" t="s">
        <v>224</v>
      </c>
      <c r="E275" s="59" t="s">
        <v>66</v>
      </c>
      <c r="F275" s="60" t="s">
        <v>67</v>
      </c>
      <c r="G275" s="9"/>
    </row>
    <row r="276" spans="1:7" x14ac:dyDescent="0.2">
      <c r="A276" s="16" t="s">
        <v>72</v>
      </c>
      <c r="B276" s="17" t="s">
        <v>10</v>
      </c>
      <c r="C276" s="94">
        <v>0.16666666666666666</v>
      </c>
      <c r="D276" s="82">
        <v>39</v>
      </c>
      <c r="E276" s="18">
        <f t="shared" ref="E276:E278" si="5">C276*D276</f>
        <v>6.5</v>
      </c>
      <c r="F276" s="52"/>
      <c r="G276" s="9"/>
    </row>
    <row r="277" spans="1:7" x14ac:dyDescent="0.2">
      <c r="A277" s="16" t="s">
        <v>28</v>
      </c>
      <c r="B277" s="17" t="s">
        <v>10</v>
      </c>
      <c r="C277" s="94">
        <v>0.16666666666666666</v>
      </c>
      <c r="D277" s="82">
        <v>26.92</v>
      </c>
      <c r="E277" s="18">
        <f t="shared" si="5"/>
        <v>4.4866666666666664</v>
      </c>
      <c r="F277" s="52"/>
      <c r="G277" s="9"/>
    </row>
    <row r="278" spans="1:7" ht="13.5" thickBot="1" x14ac:dyDescent="0.25">
      <c r="A278" s="16" t="s">
        <v>29</v>
      </c>
      <c r="B278" s="17" t="s">
        <v>10</v>
      </c>
      <c r="C278" s="94">
        <v>0.16666666666666666</v>
      </c>
      <c r="D278" s="82">
        <v>26.19</v>
      </c>
      <c r="E278" s="18">
        <f t="shared" si="5"/>
        <v>4.3650000000000002</v>
      </c>
      <c r="F278" s="52"/>
      <c r="G278" s="9"/>
    </row>
    <row r="279" spans="1:7" ht="13.5" thickBot="1" x14ac:dyDescent="0.25">
      <c r="A279" s="11"/>
      <c r="B279" s="11"/>
      <c r="C279" s="11"/>
      <c r="D279" s="11"/>
      <c r="E279" s="34"/>
      <c r="F279" s="21">
        <f>SUM(E276:E278)</f>
        <v>15.351666666666667</v>
      </c>
      <c r="G279" s="9"/>
    </row>
    <row r="280" spans="1:7" ht="11.25" customHeight="1" thickBot="1" x14ac:dyDescent="0.25">
      <c r="G280" s="9"/>
    </row>
    <row r="281" spans="1:7" ht="13.5" thickBot="1" x14ac:dyDescent="0.25">
      <c r="A281" s="24" t="s">
        <v>218</v>
      </c>
      <c r="B281" s="25"/>
      <c r="C281" s="25"/>
      <c r="D281" s="26"/>
      <c r="E281" s="27"/>
      <c r="F281" s="21">
        <f>+F279</f>
        <v>15.351666666666667</v>
      </c>
      <c r="G281" s="9"/>
    </row>
    <row r="282" spans="1:7" ht="11.25" customHeight="1" x14ac:dyDescent="0.2">
      <c r="G282" s="9"/>
    </row>
    <row r="283" spans="1:7" ht="13.15" customHeight="1" x14ac:dyDescent="0.2">
      <c r="A283" s="11" t="s">
        <v>407</v>
      </c>
      <c r="B283" s="11"/>
      <c r="C283" s="11"/>
      <c r="D283" s="34"/>
      <c r="E283" s="34"/>
      <c r="F283" s="33"/>
      <c r="G283" s="9"/>
    </row>
    <row r="284" spans="1:7" ht="11.25" customHeight="1" thickBot="1" x14ac:dyDescent="0.25">
      <c r="G284" s="9"/>
    </row>
    <row r="285" spans="1:7" ht="13.9" customHeight="1" thickBot="1" x14ac:dyDescent="0.25">
      <c r="A285" s="57" t="s">
        <v>64</v>
      </c>
      <c r="B285" s="58" t="s">
        <v>65</v>
      </c>
      <c r="C285" s="58" t="s">
        <v>42</v>
      </c>
      <c r="D285" s="59" t="s">
        <v>224</v>
      </c>
      <c r="E285" s="59" t="s">
        <v>66</v>
      </c>
      <c r="F285" s="60" t="s">
        <v>67</v>
      </c>
      <c r="G285" s="9"/>
    </row>
    <row r="286" spans="1:7" ht="13.9" hidden="1" customHeight="1" x14ac:dyDescent="0.2">
      <c r="A286" s="299" t="s">
        <v>404</v>
      </c>
      <c r="B286" s="51" t="s">
        <v>10</v>
      </c>
      <c r="C286" s="66"/>
      <c r="D286" s="84">
        <v>500</v>
      </c>
      <c r="E286" s="18">
        <f>+D286*C286</f>
        <v>0</v>
      </c>
      <c r="F286" s="52"/>
      <c r="G286" s="9"/>
    </row>
    <row r="287" spans="1:7" ht="13.9" hidden="1" customHeight="1" x14ac:dyDescent="0.2">
      <c r="A287" s="299" t="s">
        <v>403</v>
      </c>
      <c r="B287" s="51" t="s">
        <v>10</v>
      </c>
      <c r="C287" s="17"/>
      <c r="D287" s="84">
        <v>150</v>
      </c>
      <c r="E287" s="18">
        <f t="shared" ref="E287:E292" si="6">+D287*C287</f>
        <v>0</v>
      </c>
      <c r="F287" s="52"/>
      <c r="G287" s="9"/>
    </row>
    <row r="288" spans="1:7" ht="13.9" hidden="1" customHeight="1" x14ac:dyDescent="0.2">
      <c r="A288" s="299" t="s">
        <v>405</v>
      </c>
      <c r="B288" s="17" t="s">
        <v>10</v>
      </c>
      <c r="C288" s="66"/>
      <c r="D288" s="84">
        <v>200</v>
      </c>
      <c r="E288" s="18">
        <f t="shared" si="6"/>
        <v>0</v>
      </c>
      <c r="F288" s="52"/>
      <c r="G288" s="9"/>
    </row>
    <row r="289" spans="1:7" ht="13.9" customHeight="1" x14ac:dyDescent="0.2">
      <c r="A289" s="299" t="s">
        <v>435</v>
      </c>
      <c r="B289" s="333" t="s">
        <v>10</v>
      </c>
      <c r="C289" s="342">
        <v>4</v>
      </c>
      <c r="D289" s="82">
        <v>120</v>
      </c>
      <c r="E289" s="18">
        <f t="shared" ref="E289:E291" si="7">C289*D289</f>
        <v>480</v>
      </c>
      <c r="F289" s="52"/>
      <c r="G289" s="9"/>
    </row>
    <row r="290" spans="1:7" ht="13.9" customHeight="1" thickBot="1" x14ac:dyDescent="0.25">
      <c r="A290" s="299" t="s">
        <v>370</v>
      </c>
      <c r="B290" s="333" t="s">
        <v>10</v>
      </c>
      <c r="C290" s="94">
        <v>8.3333333333333329E-2</v>
      </c>
      <c r="D290" s="82">
        <v>150</v>
      </c>
      <c r="E290" s="18">
        <f t="shared" si="7"/>
        <v>12.5</v>
      </c>
      <c r="F290" s="52"/>
      <c r="G290" s="9"/>
    </row>
    <row r="291" spans="1:7" ht="13.9" hidden="1" customHeight="1" x14ac:dyDescent="0.2">
      <c r="A291" s="299" t="s">
        <v>372</v>
      </c>
      <c r="B291" s="333" t="s">
        <v>371</v>
      </c>
      <c r="C291" s="301"/>
      <c r="D291" s="82"/>
      <c r="E291" s="18">
        <f t="shared" si="7"/>
        <v>0</v>
      </c>
      <c r="F291" s="52"/>
      <c r="G291" s="9"/>
    </row>
    <row r="292" spans="1:7" ht="13.9" hidden="1" customHeight="1" thickBot="1" x14ac:dyDescent="0.25">
      <c r="A292" s="299" t="s">
        <v>406</v>
      </c>
      <c r="B292" s="51" t="s">
        <v>348</v>
      </c>
      <c r="C292" s="17"/>
      <c r="D292" s="84">
        <v>0</v>
      </c>
      <c r="E292" s="18">
        <f t="shared" si="6"/>
        <v>0</v>
      </c>
      <c r="F292" s="52"/>
      <c r="G292" s="9"/>
    </row>
    <row r="293" spans="1:7" ht="13.9" customHeight="1" thickBot="1" x14ac:dyDescent="0.25">
      <c r="A293" s="12"/>
      <c r="B293" s="12"/>
      <c r="C293" s="12"/>
      <c r="D293" s="115" t="s">
        <v>185</v>
      </c>
      <c r="E293" s="287">
        <v>1</v>
      </c>
      <c r="F293" s="21">
        <f>SUM(E286:E292)</f>
        <v>492.5</v>
      </c>
      <c r="G293" s="9"/>
    </row>
    <row r="294" spans="1:7" ht="11.25" customHeight="1" x14ac:dyDescent="0.2">
      <c r="G294" s="9"/>
    </row>
    <row r="295" spans="1:7" x14ac:dyDescent="0.2">
      <c r="A295" s="11" t="s">
        <v>408</v>
      </c>
      <c r="B295" s="11"/>
      <c r="C295" s="11"/>
      <c r="D295" s="34"/>
      <c r="E295" s="34"/>
      <c r="F295" s="33"/>
    </row>
    <row r="296" spans="1:7" ht="11.25" customHeight="1" thickBot="1" x14ac:dyDescent="0.25"/>
    <row r="297" spans="1:7" ht="13.5" thickBot="1" x14ac:dyDescent="0.25">
      <c r="A297" s="57" t="s">
        <v>64</v>
      </c>
      <c r="B297" s="58" t="s">
        <v>65</v>
      </c>
      <c r="C297" s="58" t="s">
        <v>42</v>
      </c>
      <c r="D297" s="59" t="s">
        <v>224</v>
      </c>
      <c r="E297" s="59" t="s">
        <v>66</v>
      </c>
      <c r="F297" s="60" t="s">
        <v>67</v>
      </c>
    </row>
    <row r="298" spans="1:7" x14ac:dyDescent="0.2">
      <c r="A298" s="299" t="s">
        <v>215</v>
      </c>
      <c r="B298" s="51" t="s">
        <v>59</v>
      </c>
      <c r="C298" s="66">
        <v>2</v>
      </c>
      <c r="D298" s="84">
        <v>300</v>
      </c>
      <c r="E298" s="18">
        <f>+D298*C298</f>
        <v>600</v>
      </c>
      <c r="F298" s="52"/>
    </row>
    <row r="299" spans="1:7" x14ac:dyDescent="0.2">
      <c r="A299" s="16" t="s">
        <v>61</v>
      </c>
      <c r="B299" s="51" t="s">
        <v>8</v>
      </c>
      <c r="C299" s="17">
        <v>60</v>
      </c>
      <c r="D299" s="77">
        <f>SUM(E298:E298)</f>
        <v>600</v>
      </c>
      <c r="E299" s="77">
        <f>+D299/C299</f>
        <v>10</v>
      </c>
      <c r="F299" s="52"/>
    </row>
    <row r="300" spans="1:7" x14ac:dyDescent="0.2">
      <c r="A300" s="16" t="s">
        <v>216</v>
      </c>
      <c r="B300" s="17" t="s">
        <v>10</v>
      </c>
      <c r="C300" s="66">
        <f>+C298</f>
        <v>2</v>
      </c>
      <c r="D300" s="84">
        <v>110</v>
      </c>
      <c r="E300" s="18">
        <f>C300*D300</f>
        <v>220</v>
      </c>
      <c r="F300" s="52"/>
    </row>
    <row r="301" spans="1:7" ht="13.5" thickBot="1" x14ac:dyDescent="0.25">
      <c r="A301" s="16" t="s">
        <v>39</v>
      </c>
      <c r="B301" s="51" t="s">
        <v>8</v>
      </c>
      <c r="C301" s="17">
        <v>1</v>
      </c>
      <c r="D301" s="77">
        <f>+E300</f>
        <v>220</v>
      </c>
      <c r="E301" s="77">
        <f>+D301/C301</f>
        <v>220</v>
      </c>
      <c r="F301" s="52"/>
    </row>
    <row r="302" spans="1:7" ht="13.5" thickBot="1" x14ac:dyDescent="0.25">
      <c r="A302" s="12"/>
      <c r="B302" s="12"/>
      <c r="C302" s="12"/>
      <c r="D302" s="115" t="s">
        <v>185</v>
      </c>
      <c r="E302" s="287">
        <f>E234</f>
        <v>0.34089999999999998</v>
      </c>
      <c r="F302" s="21">
        <f>(E299+E301)*E302</f>
        <v>78.406999999999996</v>
      </c>
    </row>
    <row r="303" spans="1:7" s="50" customFormat="1" ht="11.25" customHeight="1" thickBot="1" x14ac:dyDescent="0.25">
      <c r="A303" s="9"/>
      <c r="B303" s="9"/>
      <c r="C303" s="9"/>
      <c r="D303" s="10"/>
      <c r="E303" s="10"/>
      <c r="F303" s="10"/>
      <c r="G303" s="79"/>
    </row>
    <row r="304" spans="1:7" ht="13.5" thickBot="1" x14ac:dyDescent="0.25">
      <c r="A304" s="24" t="s">
        <v>214</v>
      </c>
      <c r="B304" s="25"/>
      <c r="C304" s="25"/>
      <c r="D304" s="26"/>
      <c r="E304" s="27"/>
      <c r="F304" s="21">
        <f>+F302</f>
        <v>78.406999999999996</v>
      </c>
    </row>
    <row r="305" spans="1:7" ht="11.25" customHeight="1" thickBot="1" x14ac:dyDescent="0.25"/>
    <row r="306" spans="1:7" ht="17.25" customHeight="1" thickBot="1" x14ac:dyDescent="0.25">
      <c r="A306" s="24" t="s">
        <v>219</v>
      </c>
      <c r="B306" s="28"/>
      <c r="C306" s="28"/>
      <c r="D306" s="29"/>
      <c r="E306" s="30"/>
      <c r="F306" s="22">
        <f>+F154+F188+F271+F281+F304+F293</f>
        <v>22463.981139180432</v>
      </c>
    </row>
    <row r="307" spans="1:7" ht="11.25" customHeight="1" x14ac:dyDescent="0.2"/>
    <row r="308" spans="1:7" x14ac:dyDescent="0.2">
      <c r="A308" s="11" t="s">
        <v>409</v>
      </c>
    </row>
    <row r="309" spans="1:7" ht="11.25" customHeight="1" thickBot="1" x14ac:dyDescent="0.25"/>
    <row r="310" spans="1:7" ht="13.5" thickBot="1" x14ac:dyDescent="0.25">
      <c r="A310" s="57" t="s">
        <v>64</v>
      </c>
      <c r="B310" s="58" t="s">
        <v>65</v>
      </c>
      <c r="C310" s="58" t="s">
        <v>42</v>
      </c>
      <c r="D310" s="59" t="s">
        <v>224</v>
      </c>
      <c r="E310" s="59" t="s">
        <v>66</v>
      </c>
      <c r="F310" s="60" t="s">
        <v>67</v>
      </c>
    </row>
    <row r="311" spans="1:7" ht="13.5" thickBot="1" x14ac:dyDescent="0.25">
      <c r="A311" s="13" t="s">
        <v>38</v>
      </c>
      <c r="B311" s="14" t="s">
        <v>2</v>
      </c>
      <c r="C311" s="131">
        <f>'9.BDI'!C21*100</f>
        <v>21.55</v>
      </c>
      <c r="D311" s="15">
        <f>+F306</f>
        <v>22463.981139180432</v>
      </c>
      <c r="E311" s="15">
        <f>C311*D311/100</f>
        <v>4840.9879354933837</v>
      </c>
    </row>
    <row r="312" spans="1:7" ht="13.5" thickBot="1" x14ac:dyDescent="0.25">
      <c r="F312" s="21">
        <f>+E311</f>
        <v>4840.9879354933837</v>
      </c>
    </row>
    <row r="313" spans="1:7" ht="11.25" customHeight="1" thickBot="1" x14ac:dyDescent="0.25"/>
    <row r="314" spans="1:7" ht="13.5" thickBot="1" x14ac:dyDescent="0.25">
      <c r="A314" s="24" t="s">
        <v>229</v>
      </c>
      <c r="B314" s="28"/>
      <c r="C314" s="28"/>
      <c r="D314" s="29"/>
      <c r="E314" s="30"/>
      <c r="F314" s="22">
        <f>F312</f>
        <v>4840.9879354933837</v>
      </c>
    </row>
    <row r="315" spans="1:7" x14ac:dyDescent="0.2">
      <c r="A315" s="11"/>
      <c r="B315" s="11"/>
      <c r="C315" s="11"/>
      <c r="D315" s="34"/>
      <c r="E315" s="34"/>
      <c r="F315" s="33"/>
    </row>
    <row r="316" spans="1:7" ht="11.25" customHeight="1" thickBot="1" x14ac:dyDescent="0.25"/>
    <row r="317" spans="1:7" ht="24.75" customHeight="1" thickBot="1" x14ac:dyDescent="0.25">
      <c r="A317" s="24" t="s">
        <v>220</v>
      </c>
      <c r="B317" s="28"/>
      <c r="C317" s="28"/>
      <c r="D317" s="29"/>
      <c r="E317" s="30"/>
      <c r="F317" s="22">
        <f>F306+F314</f>
        <v>27304.969074673816</v>
      </c>
    </row>
    <row r="318" spans="1:7" ht="12.6" customHeight="1" x14ac:dyDescent="0.2">
      <c r="A318" s="53"/>
      <c r="B318" s="53"/>
      <c r="C318" s="53"/>
      <c r="D318" s="54"/>
      <c r="E318" s="54"/>
      <c r="F318" s="54"/>
    </row>
    <row r="319" spans="1:7" ht="14.25" hidden="1" x14ac:dyDescent="0.2">
      <c r="A319" s="8"/>
      <c r="B319" s="8"/>
      <c r="C319" s="8"/>
      <c r="D319" s="35"/>
      <c r="E319" s="35"/>
    </row>
    <row r="320" spans="1:7" ht="16.149999999999999" hidden="1" customHeight="1" x14ac:dyDescent="0.2">
      <c r="A320" s="230" t="s">
        <v>213</v>
      </c>
      <c r="B320" s="231"/>
      <c r="C320" s="231"/>
      <c r="D320" s="232"/>
      <c r="E320" s="233" t="s">
        <v>27</v>
      </c>
      <c r="G320" s="10" t="s">
        <v>194</v>
      </c>
    </row>
    <row r="321" spans="1:7" hidden="1" x14ac:dyDescent="0.2"/>
    <row r="322" spans="1:7" ht="25.5" hidden="1" customHeight="1" thickBot="1" x14ac:dyDescent="0.25">
      <c r="A322" s="24" t="s">
        <v>70</v>
      </c>
      <c r="B322" s="25"/>
      <c r="C322" s="25"/>
      <c r="D322" s="26"/>
      <c r="E322" s="234" t="s">
        <v>34</v>
      </c>
      <c r="F322" s="235" t="str">
        <f>IFERROR(F317/D320,"-")</f>
        <v>-</v>
      </c>
      <c r="G322" s="10" t="s">
        <v>194</v>
      </c>
    </row>
    <row r="323" spans="1:7" ht="12.6" hidden="1" customHeight="1" x14ac:dyDescent="0.2">
      <c r="A323" s="11"/>
      <c r="B323" s="11"/>
      <c r="C323" s="11"/>
      <c r="D323" s="34"/>
      <c r="E323" s="34"/>
      <c r="F323" s="34"/>
    </row>
    <row r="324" spans="1:7" s="4" customFormat="1" ht="9.75" hidden="1" customHeight="1" x14ac:dyDescent="0.2">
      <c r="A324" s="38"/>
      <c r="B324" s="10"/>
      <c r="C324" s="10"/>
      <c r="D324" s="10"/>
      <c r="E324" s="10"/>
      <c r="F324" s="10"/>
      <c r="G324" s="6"/>
    </row>
    <row r="325" spans="1:7" s="4" customFormat="1" ht="9.75" hidden="1" customHeight="1" x14ac:dyDescent="0.2">
      <c r="A325" s="38"/>
      <c r="B325" s="10"/>
      <c r="C325" s="10"/>
      <c r="D325" s="10"/>
      <c r="E325" s="10"/>
      <c r="F325" s="10"/>
      <c r="G325" s="6"/>
    </row>
    <row r="326" spans="1:7" s="4" customFormat="1" ht="9.75" hidden="1" customHeight="1" x14ac:dyDescent="0.2">
      <c r="A326" s="38"/>
      <c r="B326" s="10"/>
      <c r="C326" s="10"/>
      <c r="D326" s="10"/>
      <c r="E326" s="10"/>
      <c r="F326" s="10"/>
      <c r="G326" s="6"/>
    </row>
    <row r="327" spans="1:7" x14ac:dyDescent="0.2">
      <c r="F327" s="43"/>
    </row>
    <row r="328" spans="1:7" x14ac:dyDescent="0.2">
      <c r="F328" s="344"/>
    </row>
    <row r="356" s="9" customFormat="1" ht="9" customHeight="1" x14ac:dyDescent="0.2"/>
  </sheetData>
  <mergeCells count="7">
    <mergeCell ref="A50:D50"/>
    <mergeCell ref="A12:F12"/>
    <mergeCell ref="A13:F13"/>
    <mergeCell ref="A15:F15"/>
    <mergeCell ref="A26:C26"/>
    <mergeCell ref="A42:E42"/>
    <mergeCell ref="A43:D43"/>
  </mergeCells>
  <hyperlinks>
    <hyperlink ref="A211" location="AbaRemun" display="3.1.2. Remuneração do Capital"/>
    <hyperlink ref="A194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5" fitToHeight="4" orientation="portrait" verticalDpi="300" r:id="rId1"/>
  <headerFooter alignWithMargins="0">
    <oddFooter>&amp;R&amp;P de &amp;N</oddFooter>
  </headerFooter>
  <rowBreaks count="2" manualBreakCount="2">
    <brk id="126" max="5" man="1"/>
    <brk id="21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1"/>
  <sheetViews>
    <sheetView showGridLines="0" topLeftCell="A12" zoomScaleSheetLayoutView="100" workbookViewId="0">
      <selection activeCell="A11" sqref="A11"/>
    </sheetView>
  </sheetViews>
  <sheetFormatPr defaultColWidth="9.140625" defaultRowHeight="12.75" x14ac:dyDescent="0.2"/>
  <cols>
    <col min="1" max="1" width="46.42578125" style="356" customWidth="1"/>
    <col min="2" max="2" width="9.42578125" style="356" bestFit="1" customWidth="1"/>
    <col min="3" max="3" width="10.7109375" style="356" bestFit="1" customWidth="1"/>
    <col min="4" max="4" width="13.140625" style="306" bestFit="1" customWidth="1"/>
    <col min="5" max="5" width="14" style="306" customWidth="1"/>
    <col min="6" max="6" width="19.28515625" style="306" customWidth="1"/>
    <col min="7" max="7" width="28.140625" style="306" customWidth="1"/>
    <col min="8" max="8" width="11.28515625" style="356" bestFit="1" customWidth="1"/>
    <col min="9" max="9" width="14.5703125" style="356" customWidth="1"/>
    <col min="10" max="10" width="13.42578125" style="356" customWidth="1"/>
    <col min="11" max="16384" width="9.140625" style="356"/>
  </cols>
  <sheetData>
    <row r="1" spans="1:7" ht="15.75" x14ac:dyDescent="0.2">
      <c r="A1" s="53" t="s">
        <v>192</v>
      </c>
    </row>
    <row r="2" spans="1:7" ht="15.75" x14ac:dyDescent="0.2">
      <c r="A2" s="304" t="s">
        <v>276</v>
      </c>
    </row>
    <row r="3" spans="1:7" ht="15.75" x14ac:dyDescent="0.2">
      <c r="A3" s="304" t="s">
        <v>277</v>
      </c>
    </row>
    <row r="4" spans="1:7" ht="15.75" x14ac:dyDescent="0.2">
      <c r="A4" s="304" t="s">
        <v>279</v>
      </c>
    </row>
    <row r="5" spans="1:7" ht="15.75" x14ac:dyDescent="0.2">
      <c r="A5" s="53" t="s">
        <v>273</v>
      </c>
    </row>
    <row r="6" spans="1:7" ht="15" x14ac:dyDescent="0.2">
      <c r="A6" s="275" t="s">
        <v>278</v>
      </c>
    </row>
    <row r="7" spans="1:7" ht="15.75" x14ac:dyDescent="0.2">
      <c r="A7" s="304" t="s">
        <v>281</v>
      </c>
    </row>
    <row r="8" spans="1:7" ht="7.15" customHeight="1" x14ac:dyDescent="0.2">
      <c r="A8" s="7"/>
    </row>
    <row r="9" spans="1:7" ht="18.75" thickBot="1" x14ac:dyDescent="0.25">
      <c r="A9" s="138" t="s">
        <v>504</v>
      </c>
    </row>
    <row r="10" spans="1:7" ht="18" x14ac:dyDescent="0.2">
      <c r="A10" s="671" t="s">
        <v>563</v>
      </c>
      <c r="B10" s="672"/>
      <c r="C10" s="672"/>
      <c r="D10" s="672"/>
      <c r="E10" s="672"/>
      <c r="F10" s="673"/>
    </row>
    <row r="11" spans="1:7" s="358" customFormat="1" ht="15" x14ac:dyDescent="0.2">
      <c r="A11" s="674" t="s">
        <v>45</v>
      </c>
      <c r="B11" s="675"/>
      <c r="C11" s="675"/>
      <c r="D11" s="675"/>
      <c r="E11" s="675"/>
      <c r="F11" s="676"/>
      <c r="G11" s="35"/>
    </row>
    <row r="12" spans="1:7" ht="10.9" customHeight="1" thickBot="1" x14ac:dyDescent="0.25">
      <c r="A12" s="359"/>
      <c r="B12" s="357"/>
      <c r="C12" s="357"/>
      <c r="D12" s="140"/>
      <c r="E12" s="140"/>
      <c r="F12" s="141"/>
      <c r="G12" s="6"/>
    </row>
    <row r="13" spans="1:7" ht="15.75" customHeight="1" thickBot="1" x14ac:dyDescent="0.25">
      <c r="A13" s="664" t="s">
        <v>191</v>
      </c>
      <c r="B13" s="665"/>
      <c r="C13" s="665"/>
      <c r="D13" s="665"/>
      <c r="E13" s="665"/>
      <c r="F13" s="666"/>
      <c r="G13" s="6"/>
    </row>
    <row r="14" spans="1:7" ht="15.75" customHeight="1" x14ac:dyDescent="0.2">
      <c r="A14" s="61" t="s">
        <v>190</v>
      </c>
      <c r="B14" s="39"/>
      <c r="C14" s="39"/>
      <c r="D14" s="239"/>
      <c r="E14" s="108" t="s">
        <v>40</v>
      </c>
      <c r="F14" s="40" t="s">
        <v>2</v>
      </c>
      <c r="G14" s="6"/>
    </row>
    <row r="15" spans="1:7" s="355" customFormat="1" ht="15.75" customHeight="1" x14ac:dyDescent="0.2">
      <c r="A15" s="117" t="str">
        <f>A34</f>
        <v>1. Mão-de-obra</v>
      </c>
      <c r="B15" s="416"/>
      <c r="C15" s="119"/>
      <c r="D15" s="119"/>
      <c r="E15" s="360">
        <f>+F74</f>
        <v>458.21018222595444</v>
      </c>
      <c r="F15" s="120">
        <f t="shared" ref="F15:F23" si="0">IFERROR(E15/$E$24,0)</f>
        <v>0.14686917787172477</v>
      </c>
      <c r="G15" s="43"/>
    </row>
    <row r="16" spans="1:7" ht="15.75" hidden="1" customHeight="1" x14ac:dyDescent="0.2">
      <c r="A16" s="48" t="str">
        <f>A35</f>
        <v>1.1. Triador</v>
      </c>
      <c r="B16" s="417"/>
      <c r="C16" s="46"/>
      <c r="D16" s="46"/>
      <c r="E16" s="418">
        <f>F43</f>
        <v>0</v>
      </c>
      <c r="F16" s="55">
        <f t="shared" si="0"/>
        <v>0</v>
      </c>
      <c r="G16" s="6"/>
    </row>
    <row r="17" spans="1:8" ht="15.75" customHeight="1" x14ac:dyDescent="0.2">
      <c r="A17" s="48" t="str">
        <f>A45</f>
        <v>1.1. Assistente Administrativo/ Encarregado - CBO 4110</v>
      </c>
      <c r="B17" s="417"/>
      <c r="C17" s="46"/>
      <c r="D17" s="46"/>
      <c r="E17" s="418">
        <f>F53</f>
        <v>417.23497768049992</v>
      </c>
      <c r="F17" s="55">
        <f t="shared" si="0"/>
        <v>0.1337354788878182</v>
      </c>
      <c r="G17" s="6"/>
    </row>
    <row r="18" spans="1:8" ht="15.75" hidden="1" customHeight="1" x14ac:dyDescent="0.2">
      <c r="A18" s="48" t="str">
        <f>A55</f>
        <v>1.2. Vale Transporte</v>
      </c>
      <c r="B18" s="417"/>
      <c r="C18" s="46"/>
      <c r="D18" s="46"/>
      <c r="E18" s="418">
        <f>F60</f>
        <v>0</v>
      </c>
      <c r="F18" s="55">
        <f t="shared" si="0"/>
        <v>0</v>
      </c>
      <c r="G18" s="6"/>
    </row>
    <row r="19" spans="1:8" ht="15.75" customHeight="1" x14ac:dyDescent="0.2">
      <c r="A19" s="48" t="str">
        <f>A62</f>
        <v>1.2. Vale-refeição (diário)</v>
      </c>
      <c r="B19" s="417"/>
      <c r="C19" s="46"/>
      <c r="D19" s="46"/>
      <c r="E19" s="604">
        <f>F66</f>
        <v>39.007022727272727</v>
      </c>
      <c r="F19" s="55">
        <f t="shared" si="0"/>
        <v>1.250284166830923E-2</v>
      </c>
      <c r="G19" s="6"/>
    </row>
    <row r="20" spans="1:8" ht="15.75" customHeight="1" x14ac:dyDescent="0.2">
      <c r="A20" s="48" t="str">
        <f>A68</f>
        <v xml:space="preserve">1.4. Plano de Benefício Social  </v>
      </c>
      <c r="B20" s="417"/>
      <c r="C20" s="46"/>
      <c r="D20" s="46"/>
      <c r="E20" s="604">
        <f>F72</f>
        <v>1.9681818181818183</v>
      </c>
      <c r="F20" s="55">
        <f t="shared" si="0"/>
        <v>6.3085731559735421E-4</v>
      </c>
      <c r="G20" s="6"/>
    </row>
    <row r="21" spans="1:8" ht="15.75" customHeight="1" x14ac:dyDescent="0.2">
      <c r="A21" s="117" t="str">
        <f>A76</f>
        <v>2. Uniformes e Equipamentos de Proteção Individual</v>
      </c>
      <c r="B21" s="417"/>
      <c r="C21" s="46"/>
      <c r="D21" s="46"/>
      <c r="E21" s="605">
        <f>F88</f>
        <v>8.5134469696969699</v>
      </c>
      <c r="F21" s="120">
        <f t="shared" si="0"/>
        <v>2.7287978438622659E-3</v>
      </c>
      <c r="G21" s="6"/>
    </row>
    <row r="22" spans="1:8" ht="15.75" customHeight="1" x14ac:dyDescent="0.2">
      <c r="A22" s="117" t="str">
        <f>A92</f>
        <v xml:space="preserve">3. Máquinas, equipamentos e instalações e Administração Local </v>
      </c>
      <c r="B22" s="417"/>
      <c r="C22" s="46"/>
      <c r="D22" s="46"/>
      <c r="E22" s="605">
        <f>F98</f>
        <v>2100</v>
      </c>
      <c r="F22" s="120">
        <f t="shared" si="0"/>
        <v>0.67310872934405919</v>
      </c>
      <c r="G22" s="6"/>
    </row>
    <row r="23" spans="1:8" s="355" customFormat="1" ht="15.75" customHeight="1" thickBot="1" x14ac:dyDescent="0.25">
      <c r="A23" s="128" t="str">
        <f>A103</f>
        <v>4. Benefícios e Despesas Indiretas</v>
      </c>
      <c r="B23" s="361"/>
      <c r="C23" s="119"/>
      <c r="D23" s="119"/>
      <c r="E23" s="363">
        <f>+F108</f>
        <v>553.12894209166291</v>
      </c>
      <c r="F23" s="120">
        <f t="shared" si="0"/>
        <v>0.17729329494035379</v>
      </c>
      <c r="G23" s="43"/>
    </row>
    <row r="24" spans="1:8" ht="15.75" customHeight="1" thickBot="1" x14ac:dyDescent="0.25">
      <c r="A24" s="41" t="s">
        <v>564</v>
      </c>
      <c r="B24" s="364"/>
      <c r="C24" s="26"/>
      <c r="D24" s="26"/>
      <c r="E24" s="365">
        <f>E15+E23+E21+E22</f>
        <v>3119.8525712873143</v>
      </c>
      <c r="F24" s="133">
        <f>F15+F23+F21+F22</f>
        <v>1</v>
      </c>
      <c r="G24" s="6"/>
    </row>
    <row r="25" spans="1:8" ht="13.5" thickBot="1" x14ac:dyDescent="0.25"/>
    <row r="26" spans="1:8" ht="15" customHeight="1" thickBot="1" x14ac:dyDescent="0.25">
      <c r="A26" s="664" t="s">
        <v>95</v>
      </c>
      <c r="B26" s="665"/>
      <c r="C26" s="665"/>
      <c r="D26" s="665"/>
      <c r="E26" s="665"/>
      <c r="F26" s="666"/>
      <c r="G26" s="6"/>
    </row>
    <row r="27" spans="1:8" ht="15" customHeight="1" thickBot="1" x14ac:dyDescent="0.25">
      <c r="A27" s="661" t="s">
        <v>41</v>
      </c>
      <c r="B27" s="662"/>
      <c r="C27" s="662"/>
      <c r="D27" s="662"/>
      <c r="E27" s="663"/>
      <c r="F27" s="606" t="s">
        <v>42</v>
      </c>
      <c r="H27" s="6"/>
    </row>
    <row r="28" spans="1:8" ht="15" hidden="1" customHeight="1" x14ac:dyDescent="0.2">
      <c r="A28" s="677" t="str">
        <f>+A35</f>
        <v>1.1. Triador</v>
      </c>
      <c r="B28" s="678"/>
      <c r="C28" s="678"/>
      <c r="D28" s="678"/>
      <c r="E28" s="679"/>
      <c r="F28" s="423">
        <v>0</v>
      </c>
      <c r="H28" s="6"/>
    </row>
    <row r="29" spans="1:8" ht="15" customHeight="1" x14ac:dyDescent="0.2">
      <c r="A29" s="680" t="s">
        <v>565</v>
      </c>
      <c r="B29" s="681"/>
      <c r="C29" s="681"/>
      <c r="D29" s="681"/>
      <c r="E29" s="682"/>
      <c r="F29" s="607">
        <v>1</v>
      </c>
      <c r="H29" s="6"/>
    </row>
    <row r="30" spans="1:8" ht="15" customHeight="1" thickBot="1" x14ac:dyDescent="0.25">
      <c r="A30" s="683" t="s">
        <v>60</v>
      </c>
      <c r="B30" s="684"/>
      <c r="C30" s="684"/>
      <c r="D30" s="684"/>
      <c r="E30" s="685"/>
      <c r="F30" s="608">
        <f>SUM(F28:F29)</f>
        <v>1</v>
      </c>
      <c r="H30" s="6"/>
    </row>
    <row r="31" spans="1:8" ht="13.5" thickBot="1" x14ac:dyDescent="0.25">
      <c r="A31" s="369"/>
      <c r="B31" s="369"/>
      <c r="C31" s="369"/>
      <c r="D31" s="356"/>
      <c r="E31" s="371"/>
      <c r="F31" s="356"/>
      <c r="G31" s="6"/>
      <c r="H31" s="6"/>
    </row>
    <row r="32" spans="1:8" s="355" customFormat="1" ht="15.75" customHeight="1" thickBot="1" x14ac:dyDescent="0.25">
      <c r="A32" s="240" t="s">
        <v>186</v>
      </c>
      <c r="B32" s="286">
        <f>5/44</f>
        <v>0.11363636363636363</v>
      </c>
      <c r="C32" s="34"/>
      <c r="E32" s="142"/>
      <c r="G32" s="43"/>
      <c r="H32" s="43"/>
    </row>
    <row r="33" spans="1:8" ht="15.75" customHeight="1" x14ac:dyDescent="0.2">
      <c r="A33" s="369"/>
      <c r="B33" s="369"/>
      <c r="C33" s="369"/>
      <c r="D33" s="356"/>
      <c r="E33" s="371"/>
      <c r="F33" s="356"/>
      <c r="G33" s="6"/>
      <c r="H33" s="6"/>
    </row>
    <row r="34" spans="1:8" ht="13.15" customHeight="1" x14ac:dyDescent="0.2">
      <c r="A34" s="355" t="s">
        <v>49</v>
      </c>
      <c r="H34" s="306"/>
    </row>
    <row r="35" spans="1:8" ht="13.9" hidden="1" customHeight="1" thickBot="1" x14ac:dyDescent="0.25">
      <c r="A35" s="356" t="s">
        <v>566</v>
      </c>
    </row>
    <row r="36" spans="1:8" ht="13.9" hidden="1" customHeight="1" thickBot="1" x14ac:dyDescent="0.25">
      <c r="A36" s="372" t="s">
        <v>64</v>
      </c>
      <c r="B36" s="373" t="s">
        <v>65</v>
      </c>
      <c r="C36" s="373" t="s">
        <v>42</v>
      </c>
      <c r="D36" s="59" t="s">
        <v>224</v>
      </c>
      <c r="E36" s="59" t="s">
        <v>66</v>
      </c>
      <c r="F36" s="60" t="s">
        <v>67</v>
      </c>
    </row>
    <row r="37" spans="1:8" ht="13.15" hidden="1" customHeight="1" x14ac:dyDescent="0.2">
      <c r="A37" s="374" t="s">
        <v>206</v>
      </c>
      <c r="B37" s="375" t="s">
        <v>8</v>
      </c>
      <c r="C37" s="375">
        <v>1</v>
      </c>
      <c r="D37" s="285"/>
      <c r="E37" s="376">
        <f>C37*D37</f>
        <v>0</v>
      </c>
      <c r="H37" s="609"/>
    </row>
    <row r="38" spans="1:8" hidden="1" x14ac:dyDescent="0.2">
      <c r="A38" s="377" t="s">
        <v>1</v>
      </c>
      <c r="B38" s="378" t="s">
        <v>2</v>
      </c>
      <c r="C38" s="378">
        <v>40</v>
      </c>
      <c r="D38" s="379">
        <f>SUM(E37:E37)</f>
        <v>0</v>
      </c>
      <c r="E38" s="307">
        <f>C38*D38/100</f>
        <v>0</v>
      </c>
    </row>
    <row r="39" spans="1:8" hidden="1" x14ac:dyDescent="0.2">
      <c r="A39" s="434" t="s">
        <v>3</v>
      </c>
      <c r="B39" s="435"/>
      <c r="C39" s="435"/>
      <c r="D39" s="111"/>
      <c r="E39" s="112">
        <f>SUM(E37:E38)</f>
        <v>0</v>
      </c>
    </row>
    <row r="40" spans="1:8" hidden="1" x14ac:dyDescent="0.2">
      <c r="A40" s="377" t="s">
        <v>4</v>
      </c>
      <c r="B40" s="378" t="s">
        <v>2</v>
      </c>
      <c r="C40" s="380">
        <f>'7.Enc Sociais'!C38*100</f>
        <v>69.355340000000012</v>
      </c>
      <c r="D40" s="307">
        <f>E39</f>
        <v>0</v>
      </c>
      <c r="E40" s="307">
        <f>D40*C40/100</f>
        <v>0</v>
      </c>
    </row>
    <row r="41" spans="1:8" hidden="1" x14ac:dyDescent="0.2">
      <c r="A41" s="434" t="s">
        <v>567</v>
      </c>
      <c r="B41" s="435"/>
      <c r="C41" s="435"/>
      <c r="D41" s="111"/>
      <c r="E41" s="112">
        <f>E39+E40</f>
        <v>0</v>
      </c>
    </row>
    <row r="42" spans="1:8" ht="13.5" hidden="1" thickBot="1" x14ac:dyDescent="0.25">
      <c r="A42" s="377" t="s">
        <v>5</v>
      </c>
      <c r="B42" s="378" t="s">
        <v>6</v>
      </c>
      <c r="C42" s="610">
        <f>F28</f>
        <v>0</v>
      </c>
      <c r="D42" s="307">
        <f>E41</f>
        <v>0</v>
      </c>
      <c r="E42" s="307">
        <f>C42*D42</f>
        <v>0</v>
      </c>
      <c r="G42" s="6"/>
    </row>
    <row r="43" spans="1:8" ht="13.9" hidden="1" customHeight="1" thickBot="1" x14ac:dyDescent="0.25">
      <c r="D43" s="308" t="s">
        <v>376</v>
      </c>
      <c r="E43" s="309">
        <f>$B$32</f>
        <v>0.11363636363636363</v>
      </c>
      <c r="F43" s="116">
        <f>E42*E43</f>
        <v>0</v>
      </c>
      <c r="G43" s="6"/>
    </row>
    <row r="44" spans="1:8" ht="11.25" hidden="1" customHeight="1" x14ac:dyDescent="0.2"/>
    <row r="45" spans="1:8" ht="13.5" thickBot="1" x14ac:dyDescent="0.25">
      <c r="A45" s="356" t="s">
        <v>588</v>
      </c>
    </row>
    <row r="46" spans="1:8" ht="13.5" thickBot="1" x14ac:dyDescent="0.25">
      <c r="A46" s="372" t="s">
        <v>64</v>
      </c>
      <c r="B46" s="373" t="s">
        <v>65</v>
      </c>
      <c r="C46" s="373" t="s">
        <v>42</v>
      </c>
      <c r="D46" s="59" t="s">
        <v>224</v>
      </c>
      <c r="E46" s="59" t="s">
        <v>66</v>
      </c>
      <c r="F46" s="60" t="s">
        <v>67</v>
      </c>
    </row>
    <row r="47" spans="1:8" x14ac:dyDescent="0.2">
      <c r="A47" s="374" t="s">
        <v>206</v>
      </c>
      <c r="B47" s="375" t="s">
        <v>8</v>
      </c>
      <c r="C47" s="611">
        <f>F29</f>
        <v>1</v>
      </c>
      <c r="D47" s="444">
        <v>1548.59</v>
      </c>
      <c r="E47" s="376">
        <f>C47*D47</f>
        <v>1548.59</v>
      </c>
    </row>
    <row r="48" spans="1:8" x14ac:dyDescent="0.2">
      <c r="A48" s="299" t="s">
        <v>1</v>
      </c>
      <c r="B48" s="333" t="s">
        <v>2</v>
      </c>
      <c r="C48" s="333">
        <v>40</v>
      </c>
      <c r="D48" s="379">
        <f>SUM(E44:E47)</f>
        <v>1548.59</v>
      </c>
      <c r="E48" s="307">
        <f>C48*D48/100</f>
        <v>619.43600000000004</v>
      </c>
    </row>
    <row r="49" spans="1:8" x14ac:dyDescent="0.2">
      <c r="A49" s="434" t="s">
        <v>3</v>
      </c>
      <c r="B49" s="435"/>
      <c r="C49" s="435"/>
      <c r="D49" s="111"/>
      <c r="E49" s="112">
        <f>SUM(E47:E48)</f>
        <v>2168.0259999999998</v>
      </c>
    </row>
    <row r="50" spans="1:8" x14ac:dyDescent="0.2">
      <c r="A50" s="377" t="s">
        <v>4</v>
      </c>
      <c r="B50" s="378" t="s">
        <v>2</v>
      </c>
      <c r="C50" s="380">
        <f>'7.Enc Sociais'!C38*100</f>
        <v>69.355340000000012</v>
      </c>
      <c r="D50" s="307">
        <f>E49</f>
        <v>2168.0259999999998</v>
      </c>
      <c r="E50" s="307">
        <f>D50*C50/100</f>
        <v>1503.6418035884001</v>
      </c>
    </row>
    <row r="51" spans="1:8" x14ac:dyDescent="0.2">
      <c r="A51" s="434" t="s">
        <v>568</v>
      </c>
      <c r="B51" s="435"/>
      <c r="C51" s="435"/>
      <c r="D51" s="111"/>
      <c r="E51" s="112">
        <f>E49+E50</f>
        <v>3671.6678035883997</v>
      </c>
    </row>
    <row r="52" spans="1:8" ht="13.5" thickBot="1" x14ac:dyDescent="0.25">
      <c r="A52" s="377" t="s">
        <v>5</v>
      </c>
      <c r="B52" s="378" t="s">
        <v>6</v>
      </c>
      <c r="C52" s="436">
        <v>1</v>
      </c>
      <c r="D52" s="307">
        <f>E51</f>
        <v>3671.6678035883997</v>
      </c>
      <c r="E52" s="307">
        <f>C52*D52</f>
        <v>3671.6678035883997</v>
      </c>
    </row>
    <row r="53" spans="1:8" ht="13.5" thickBot="1" x14ac:dyDescent="0.25">
      <c r="A53" s="356" t="s">
        <v>599</v>
      </c>
      <c r="D53" s="308" t="s">
        <v>376</v>
      </c>
      <c r="E53" s="347">
        <f>$B$32</f>
        <v>0.11363636363636363</v>
      </c>
      <c r="F53" s="116">
        <f>E52*E53</f>
        <v>417.23497768049992</v>
      </c>
      <c r="H53" s="451"/>
    </row>
    <row r="54" spans="1:8" ht="11.25" customHeight="1" x14ac:dyDescent="0.2"/>
    <row r="55" spans="1:8" s="7" customFormat="1" ht="13.5" hidden="1" thickBot="1" x14ac:dyDescent="0.25">
      <c r="A55" s="11" t="s">
        <v>569</v>
      </c>
      <c r="B55" s="612"/>
      <c r="E55" s="613"/>
      <c r="F55" s="306"/>
    </row>
    <row r="56" spans="1:8" s="7" customFormat="1" ht="13.5" hidden="1" thickBot="1" x14ac:dyDescent="0.25">
      <c r="A56" s="57" t="s">
        <v>64</v>
      </c>
      <c r="B56" s="58" t="s">
        <v>65</v>
      </c>
      <c r="C56" s="58" t="s">
        <v>42</v>
      </c>
      <c r="D56" s="59" t="s">
        <v>224</v>
      </c>
      <c r="E56" s="59" t="s">
        <v>66</v>
      </c>
      <c r="F56" s="60" t="s">
        <v>67</v>
      </c>
    </row>
    <row r="57" spans="1:8" s="7" customFormat="1" hidden="1" x14ac:dyDescent="0.2">
      <c r="A57" s="299" t="s">
        <v>89</v>
      </c>
      <c r="B57" s="333" t="s">
        <v>35</v>
      </c>
      <c r="C57" s="310">
        <v>1</v>
      </c>
      <c r="D57" s="444">
        <v>2.39</v>
      </c>
      <c r="E57" s="307"/>
      <c r="F57" s="306"/>
    </row>
    <row r="58" spans="1:8" s="7" customFormat="1" hidden="1" x14ac:dyDescent="0.2">
      <c r="A58" s="299" t="s">
        <v>90</v>
      </c>
      <c r="B58" s="333" t="s">
        <v>91</v>
      </c>
      <c r="C58" s="614">
        <v>25</v>
      </c>
      <c r="D58" s="307"/>
      <c r="E58" s="307"/>
      <c r="F58" s="306"/>
    </row>
    <row r="59" spans="1:8" s="7" customFormat="1" ht="13.5" hidden="1" thickBot="1" x14ac:dyDescent="0.25">
      <c r="A59" s="299" t="s">
        <v>570</v>
      </c>
      <c r="B59" s="333" t="s">
        <v>9</v>
      </c>
      <c r="C59" s="446">
        <v>1</v>
      </c>
      <c r="D59" s="376">
        <v>0</v>
      </c>
      <c r="E59" s="307">
        <f>IFERROR(C59*D59,"-")</f>
        <v>0</v>
      </c>
      <c r="F59" s="306"/>
    </row>
    <row r="60" spans="1:8" s="7" customFormat="1" ht="13.5" hidden="1" thickBot="1" x14ac:dyDescent="0.25">
      <c r="D60" s="308" t="s">
        <v>376</v>
      </c>
      <c r="E60" s="347">
        <v>0</v>
      </c>
      <c r="F60" s="22">
        <f>E59*E60</f>
        <v>0</v>
      </c>
    </row>
    <row r="61" spans="1:8" s="7" customFormat="1" ht="11.25" hidden="1" customHeight="1" x14ac:dyDescent="0.2">
      <c r="D61" s="306"/>
      <c r="E61" s="306"/>
      <c r="F61" s="306"/>
    </row>
    <row r="62" spans="1:8" s="7" customFormat="1" ht="13.5" thickBot="1" x14ac:dyDescent="0.25">
      <c r="A62" s="11" t="s">
        <v>589</v>
      </c>
      <c r="D62" s="306"/>
      <c r="E62" s="306"/>
      <c r="F62" s="23"/>
    </row>
    <row r="63" spans="1:8" s="7" customFormat="1" ht="13.5" thickBot="1" x14ac:dyDescent="0.25">
      <c r="A63" s="57" t="s">
        <v>64</v>
      </c>
      <c r="B63" s="58" t="s">
        <v>65</v>
      </c>
      <c r="C63" s="58" t="s">
        <v>42</v>
      </c>
      <c r="D63" s="59" t="s">
        <v>224</v>
      </c>
      <c r="E63" s="59" t="s">
        <v>66</v>
      </c>
      <c r="F63" s="60" t="s">
        <v>67</v>
      </c>
    </row>
    <row r="64" spans="1:8" s="7" customFormat="1" ht="13.5" thickBot="1" x14ac:dyDescent="0.25">
      <c r="A64" s="299" t="str">
        <f>+A59</f>
        <v xml:space="preserve">Assistente </v>
      </c>
      <c r="B64" s="333" t="s">
        <v>10</v>
      </c>
      <c r="C64" s="447">
        <v>21</v>
      </c>
      <c r="D64" s="311">
        <f>20.18*0.81</f>
        <v>16.345800000000001</v>
      </c>
      <c r="E64" s="309">
        <f>C64*D64</f>
        <v>343.26179999999999</v>
      </c>
      <c r="F64" s="23"/>
    </row>
    <row r="65" spans="1:8" s="7" customFormat="1" ht="13.5" hidden="1" thickBot="1" x14ac:dyDescent="0.25">
      <c r="A65" s="299" t="s">
        <v>357</v>
      </c>
      <c r="B65" s="333" t="s">
        <v>10</v>
      </c>
      <c r="C65" s="447">
        <v>0</v>
      </c>
      <c r="D65" s="311">
        <f>18.2*0.81</f>
        <v>14.742000000000001</v>
      </c>
      <c r="E65" s="309">
        <f>C65*D65</f>
        <v>0</v>
      </c>
      <c r="F65" s="23"/>
    </row>
    <row r="66" spans="1:8" s="7" customFormat="1" ht="13.5" thickBot="1" x14ac:dyDescent="0.25">
      <c r="D66" s="308" t="s">
        <v>376</v>
      </c>
      <c r="E66" s="347">
        <f>$B$32</f>
        <v>0.11363636363636363</v>
      </c>
      <c r="F66" s="22">
        <f>E64*E66</f>
        <v>39.007022727272727</v>
      </c>
    </row>
    <row r="67" spans="1:8" s="7" customFormat="1" x14ac:dyDescent="0.2">
      <c r="D67" s="308"/>
      <c r="E67" s="442"/>
      <c r="F67" s="306"/>
    </row>
    <row r="68" spans="1:8" s="7" customFormat="1" ht="13.5" thickBot="1" x14ac:dyDescent="0.25">
      <c r="A68" s="11" t="s">
        <v>571</v>
      </c>
      <c r="D68" s="306"/>
      <c r="E68" s="306"/>
      <c r="F68" s="23"/>
    </row>
    <row r="69" spans="1:8" s="7" customFormat="1" ht="13.5" thickBot="1" x14ac:dyDescent="0.25">
      <c r="A69" s="57" t="s">
        <v>64</v>
      </c>
      <c r="B69" s="58" t="s">
        <v>65</v>
      </c>
      <c r="C69" s="58" t="s">
        <v>42</v>
      </c>
      <c r="D69" s="59" t="s">
        <v>224</v>
      </c>
      <c r="E69" s="59" t="s">
        <v>66</v>
      </c>
      <c r="F69" s="60" t="s">
        <v>67</v>
      </c>
    </row>
    <row r="70" spans="1:8" s="7" customFormat="1" ht="13.5" thickBot="1" x14ac:dyDescent="0.25">
      <c r="A70" s="299" t="s">
        <v>377</v>
      </c>
      <c r="B70" s="333" t="s">
        <v>10</v>
      </c>
      <c r="C70" s="337">
        <v>1</v>
      </c>
      <c r="D70" s="338">
        <v>17.32</v>
      </c>
      <c r="E70" s="339">
        <f>C70*D70</f>
        <v>17.32</v>
      </c>
      <c r="F70" s="23"/>
    </row>
    <row r="71" spans="1:8" s="7" customFormat="1" ht="13.5" hidden="1" thickBot="1" x14ac:dyDescent="0.25">
      <c r="A71" s="299"/>
      <c r="B71" s="333" t="s">
        <v>10</v>
      </c>
      <c r="C71" s="337">
        <v>0</v>
      </c>
      <c r="D71" s="338">
        <v>0</v>
      </c>
      <c r="E71" s="339"/>
      <c r="F71" s="23"/>
    </row>
    <row r="72" spans="1:8" s="7" customFormat="1" ht="13.5" thickBot="1" x14ac:dyDescent="0.25">
      <c r="A72" s="340"/>
      <c r="B72" s="340"/>
      <c r="D72" s="308" t="s">
        <v>376</v>
      </c>
      <c r="E72" s="347">
        <f>E53</f>
        <v>0.11363636363636363</v>
      </c>
      <c r="F72" s="341">
        <f>SUM(E70:E71)*E72</f>
        <v>1.9681818181818183</v>
      </c>
      <c r="H72" s="615"/>
    </row>
    <row r="73" spans="1:8" ht="13.5" thickBot="1" x14ac:dyDescent="0.25">
      <c r="G73" s="356"/>
    </row>
    <row r="74" spans="1:8" ht="13.5" thickBot="1" x14ac:dyDescent="0.25">
      <c r="A74" s="668" t="s">
        <v>572</v>
      </c>
      <c r="B74" s="669"/>
      <c r="C74" s="669"/>
      <c r="D74" s="669"/>
      <c r="E74" s="670"/>
      <c r="F74" s="116">
        <f>F53+F60+F66+F72</f>
        <v>458.21018222595444</v>
      </c>
      <c r="G74" s="356"/>
    </row>
    <row r="76" spans="1:8" x14ac:dyDescent="0.2">
      <c r="A76" s="645" t="s">
        <v>47</v>
      </c>
      <c r="G76" s="356"/>
    </row>
    <row r="77" spans="1:8" ht="13.9" customHeight="1" thickBot="1" x14ac:dyDescent="0.25">
      <c r="A77" s="356" t="s">
        <v>573</v>
      </c>
      <c r="G77" s="356"/>
    </row>
    <row r="78" spans="1:8" ht="27.75" customHeight="1" thickBot="1" x14ac:dyDescent="0.25">
      <c r="A78" s="372" t="s">
        <v>64</v>
      </c>
      <c r="B78" s="373" t="s">
        <v>65</v>
      </c>
      <c r="C78" s="448" t="s">
        <v>246</v>
      </c>
      <c r="D78" s="59" t="s">
        <v>224</v>
      </c>
      <c r="E78" s="59" t="s">
        <v>66</v>
      </c>
      <c r="F78" s="60" t="s">
        <v>67</v>
      </c>
      <c r="G78" s="356"/>
    </row>
    <row r="79" spans="1:8" ht="13.15" customHeight="1" x14ac:dyDescent="0.2">
      <c r="A79" s="377" t="s">
        <v>30</v>
      </c>
      <c r="B79" s="378" t="s">
        <v>10</v>
      </c>
      <c r="C79" s="616">
        <v>4</v>
      </c>
      <c r="D79" s="285">
        <f>'[1]2. Coleta Seletiva'!D165</f>
        <v>35</v>
      </c>
      <c r="E79" s="376">
        <f t="shared" ref="E79:E86" si="1">IFERROR(D79/C79,0)</f>
        <v>8.75</v>
      </c>
      <c r="G79" s="356"/>
    </row>
    <row r="80" spans="1:8" x14ac:dyDescent="0.2">
      <c r="A80" s="377" t="s">
        <v>31</v>
      </c>
      <c r="B80" s="378" t="s">
        <v>10</v>
      </c>
      <c r="C80" s="616">
        <v>3</v>
      </c>
      <c r="D80" s="285">
        <f>'[1]2. Coleta Seletiva'!D185</f>
        <v>25</v>
      </c>
      <c r="E80" s="376">
        <f t="shared" si="1"/>
        <v>8.3333333333333339</v>
      </c>
      <c r="G80" s="356"/>
    </row>
    <row r="81" spans="1:10" ht="13.15" customHeight="1" x14ac:dyDescent="0.2">
      <c r="A81" s="377" t="s">
        <v>32</v>
      </c>
      <c r="B81" s="378" t="s">
        <v>10</v>
      </c>
      <c r="C81" s="616">
        <v>6</v>
      </c>
      <c r="D81" s="285">
        <f>'[1]2. Coleta Seletiva'!D169</f>
        <v>18</v>
      </c>
      <c r="E81" s="376">
        <f t="shared" si="1"/>
        <v>3</v>
      </c>
      <c r="G81" s="356"/>
    </row>
    <row r="82" spans="1:10" ht="13.9" customHeight="1" x14ac:dyDescent="0.2">
      <c r="A82" s="377" t="s">
        <v>574</v>
      </c>
      <c r="B82" s="378" t="s">
        <v>50</v>
      </c>
      <c r="C82" s="616">
        <v>4</v>
      </c>
      <c r="D82" s="285">
        <f>'[1]2. Coleta Seletiva'!D170</f>
        <v>60</v>
      </c>
      <c r="E82" s="376">
        <f t="shared" si="1"/>
        <v>15</v>
      </c>
      <c r="G82" s="356"/>
    </row>
    <row r="83" spans="1:10" ht="13.9" hidden="1" customHeight="1" x14ac:dyDescent="0.2">
      <c r="A83" s="377" t="s">
        <v>575</v>
      </c>
      <c r="B83" s="378" t="s">
        <v>10</v>
      </c>
      <c r="C83" s="449"/>
      <c r="D83" s="285"/>
      <c r="E83" s="376">
        <f>IFERROR(D83/C83,0)</f>
        <v>0</v>
      </c>
      <c r="G83" s="356"/>
    </row>
    <row r="84" spans="1:10" x14ac:dyDescent="0.2">
      <c r="A84" s="377" t="s">
        <v>576</v>
      </c>
      <c r="B84" s="378" t="s">
        <v>10</v>
      </c>
      <c r="C84" s="616">
        <v>2</v>
      </c>
      <c r="D84" s="285">
        <v>14.67</v>
      </c>
      <c r="E84" s="376">
        <f t="shared" si="1"/>
        <v>7.335</v>
      </c>
    </row>
    <row r="85" spans="1:10" x14ac:dyDescent="0.2">
      <c r="A85" s="377" t="s">
        <v>33</v>
      </c>
      <c r="B85" s="378" t="s">
        <v>50</v>
      </c>
      <c r="C85" s="449">
        <v>0.5</v>
      </c>
      <c r="D85" s="285">
        <v>10</v>
      </c>
      <c r="E85" s="376">
        <f t="shared" si="1"/>
        <v>20</v>
      </c>
    </row>
    <row r="86" spans="1:10" x14ac:dyDescent="0.2">
      <c r="A86" s="377" t="str">
        <f>'[1]2. Coleta Seletiva'!A189</f>
        <v xml:space="preserve">Máscara de proteção respiratória </v>
      </c>
      <c r="B86" s="333" t="s">
        <v>10</v>
      </c>
      <c r="C86" s="298">
        <v>0.04</v>
      </c>
      <c r="D86" s="285">
        <v>0.5</v>
      </c>
      <c r="E86" s="376">
        <f t="shared" si="1"/>
        <v>12.5</v>
      </c>
    </row>
    <row r="87" spans="1:10" ht="13.5" thickBot="1" x14ac:dyDescent="0.25">
      <c r="A87" s="377" t="s">
        <v>5</v>
      </c>
      <c r="B87" s="378" t="s">
        <v>6</v>
      </c>
      <c r="C87" s="617">
        <v>1</v>
      </c>
      <c r="D87" s="618">
        <f>+SUM(E79:E86)</f>
        <v>74.918333333333337</v>
      </c>
      <c r="E87" s="618">
        <f>C87*D87</f>
        <v>74.918333333333337</v>
      </c>
    </row>
    <row r="88" spans="1:10" ht="13.5" thickBot="1" x14ac:dyDescent="0.25">
      <c r="D88" s="308" t="s">
        <v>376</v>
      </c>
      <c r="E88" s="347">
        <f>$B$32</f>
        <v>0.11363636363636363</v>
      </c>
      <c r="F88" s="116">
        <f>E87*E88</f>
        <v>8.5134469696969699</v>
      </c>
    </row>
    <row r="89" spans="1:10" ht="11.25" customHeight="1" thickBot="1" x14ac:dyDescent="0.25">
      <c r="G89" s="356"/>
    </row>
    <row r="90" spans="1:10" ht="13.5" thickBot="1" x14ac:dyDescent="0.25">
      <c r="A90" s="668" t="s">
        <v>577</v>
      </c>
      <c r="B90" s="669"/>
      <c r="C90" s="669"/>
      <c r="D90" s="669"/>
      <c r="E90" s="670"/>
      <c r="F90" s="619">
        <f>+F88</f>
        <v>8.5134469696969699</v>
      </c>
      <c r="G90" s="356"/>
    </row>
    <row r="91" spans="1:10" ht="11.25" customHeight="1" x14ac:dyDescent="0.2">
      <c r="G91" s="356"/>
    </row>
    <row r="92" spans="1:10" ht="13.5" thickBot="1" x14ac:dyDescent="0.25">
      <c r="A92" s="355" t="s">
        <v>578</v>
      </c>
      <c r="I92" s="451"/>
      <c r="J92" s="451"/>
    </row>
    <row r="93" spans="1:10" ht="13.5" thickBot="1" x14ac:dyDescent="0.25">
      <c r="A93" s="372" t="s">
        <v>64</v>
      </c>
      <c r="B93" s="373" t="s">
        <v>65</v>
      </c>
      <c r="C93" s="373" t="s">
        <v>42</v>
      </c>
      <c r="D93" s="59" t="s">
        <v>224</v>
      </c>
      <c r="E93" s="59" t="s">
        <v>66</v>
      </c>
      <c r="F93" s="60" t="s">
        <v>67</v>
      </c>
      <c r="I93" s="451"/>
      <c r="J93" s="451"/>
    </row>
    <row r="94" spans="1:10" x14ac:dyDescent="0.2">
      <c r="A94" s="377" t="s">
        <v>590</v>
      </c>
      <c r="B94" s="378" t="s">
        <v>579</v>
      </c>
      <c r="C94" s="620">
        <v>10</v>
      </c>
      <c r="D94" s="311">
        <v>160</v>
      </c>
      <c r="E94" s="307">
        <f t="shared" ref="E94:E95" si="2">C94*D94</f>
        <v>1600</v>
      </c>
      <c r="I94" s="451"/>
      <c r="J94" s="451"/>
    </row>
    <row r="95" spans="1:10" ht="13.5" thickBot="1" x14ac:dyDescent="0.25">
      <c r="A95" s="377" t="s">
        <v>580</v>
      </c>
      <c r="B95" s="378" t="s">
        <v>581</v>
      </c>
      <c r="C95" s="310">
        <v>1</v>
      </c>
      <c r="D95" s="311">
        <v>500</v>
      </c>
      <c r="E95" s="307">
        <f t="shared" si="2"/>
        <v>500</v>
      </c>
      <c r="I95" s="451"/>
      <c r="J95" s="451"/>
    </row>
    <row r="96" spans="1:10" ht="13.5" thickBot="1" x14ac:dyDescent="0.25">
      <c r="A96" s="621"/>
      <c r="B96" s="621"/>
      <c r="C96" s="621"/>
      <c r="D96" s="622"/>
      <c r="E96" s="622"/>
      <c r="F96" s="21">
        <f>SUM(E94:E95)</f>
        <v>2100</v>
      </c>
      <c r="I96" s="451"/>
      <c r="J96" s="451"/>
    </row>
    <row r="97" spans="1:10" ht="11.25" customHeight="1" thickBot="1" x14ac:dyDescent="0.25">
      <c r="I97" s="451"/>
      <c r="J97" s="451"/>
    </row>
    <row r="98" spans="1:10" ht="13.5" thickBot="1" x14ac:dyDescent="0.25">
      <c r="A98" s="623" t="s">
        <v>582</v>
      </c>
      <c r="B98" s="624"/>
      <c r="C98" s="624"/>
      <c r="D98" s="625"/>
      <c r="E98" s="626"/>
      <c r="F98" s="619">
        <f>+SUM(F92:F97)</f>
        <v>2100</v>
      </c>
      <c r="G98" s="356"/>
    </row>
    <row r="99" spans="1:10" ht="11.25" customHeight="1" x14ac:dyDescent="0.2">
      <c r="G99" s="356"/>
    </row>
    <row r="100" spans="1:10" ht="11.25" customHeight="1" thickBot="1" x14ac:dyDescent="0.25"/>
    <row r="101" spans="1:10" ht="17.25" customHeight="1" thickBot="1" x14ac:dyDescent="0.25">
      <c r="A101" s="668" t="s">
        <v>583</v>
      </c>
      <c r="B101" s="669"/>
      <c r="C101" s="669"/>
      <c r="D101" s="669"/>
      <c r="E101" s="670"/>
      <c r="F101" s="627">
        <f>+F74+F90+F98</f>
        <v>2566.7236291956515</v>
      </c>
    </row>
    <row r="102" spans="1:10" ht="11.25" customHeight="1" x14ac:dyDescent="0.2"/>
    <row r="103" spans="1:10" s="306" customFormat="1" ht="13.5" thickBot="1" x14ac:dyDescent="0.25">
      <c r="A103" s="355" t="s">
        <v>584</v>
      </c>
      <c r="B103" s="356"/>
      <c r="C103" s="356"/>
      <c r="H103" s="356"/>
      <c r="I103" s="356"/>
      <c r="J103" s="356"/>
    </row>
    <row r="104" spans="1:10" s="306" customFormat="1" ht="13.5" thickBot="1" x14ac:dyDescent="0.25">
      <c r="A104" s="372" t="s">
        <v>64</v>
      </c>
      <c r="B104" s="373" t="s">
        <v>65</v>
      </c>
      <c r="C104" s="373" t="s">
        <v>42</v>
      </c>
      <c r="D104" s="59" t="s">
        <v>224</v>
      </c>
      <c r="E104" s="59" t="s">
        <v>66</v>
      </c>
      <c r="F104" s="60" t="s">
        <v>67</v>
      </c>
      <c r="H104" s="356"/>
      <c r="I104" s="356"/>
      <c r="J104" s="356"/>
    </row>
    <row r="105" spans="1:10" s="306" customFormat="1" ht="13.5" thickBot="1" x14ac:dyDescent="0.25">
      <c r="A105" s="374" t="s">
        <v>38</v>
      </c>
      <c r="B105" s="375" t="s">
        <v>2</v>
      </c>
      <c r="C105" s="380">
        <f>'9.BDI'!C21*100</f>
        <v>21.55</v>
      </c>
      <c r="D105" s="376">
        <f>+F101</f>
        <v>2566.7236291956515</v>
      </c>
      <c r="E105" s="376">
        <f>C105*D105/100</f>
        <v>553.12894209166291</v>
      </c>
      <c r="H105" s="356"/>
      <c r="I105" s="356"/>
      <c r="J105" s="356"/>
    </row>
    <row r="106" spans="1:10" s="306" customFormat="1" ht="13.5" thickBot="1" x14ac:dyDescent="0.25">
      <c r="A106" s="356"/>
      <c r="B106" s="356"/>
      <c r="C106" s="356"/>
      <c r="F106" s="21">
        <f>+E105</f>
        <v>553.12894209166291</v>
      </c>
      <c r="H106" s="356"/>
      <c r="I106" s="356"/>
      <c r="J106" s="356"/>
    </row>
    <row r="107" spans="1:10" s="306" customFormat="1" ht="11.25" customHeight="1" thickBot="1" x14ac:dyDescent="0.25">
      <c r="A107" s="356"/>
      <c r="B107" s="356"/>
      <c r="C107" s="356"/>
      <c r="H107" s="356"/>
      <c r="I107" s="356"/>
      <c r="J107" s="356"/>
    </row>
    <row r="108" spans="1:10" s="306" customFormat="1" ht="13.5" thickBot="1" x14ac:dyDescent="0.25">
      <c r="A108" s="381" t="s">
        <v>585</v>
      </c>
      <c r="B108" s="383"/>
      <c r="C108" s="383"/>
      <c r="D108" s="384"/>
      <c r="E108" s="385"/>
      <c r="F108" s="22">
        <f>F106</f>
        <v>553.12894209166291</v>
      </c>
      <c r="H108" s="356"/>
      <c r="I108" s="356"/>
      <c r="J108" s="356"/>
    </row>
    <row r="109" spans="1:10" s="306" customFormat="1" ht="11.25" customHeight="1" thickBot="1" x14ac:dyDescent="0.25">
      <c r="A109" s="356"/>
      <c r="B109" s="356"/>
      <c r="C109" s="356"/>
      <c r="H109" s="356"/>
      <c r="I109" s="356"/>
      <c r="J109" s="356"/>
    </row>
    <row r="110" spans="1:10" s="306" customFormat="1" ht="24.75" customHeight="1" thickBot="1" x14ac:dyDescent="0.25">
      <c r="A110" s="668" t="s">
        <v>586</v>
      </c>
      <c r="B110" s="669"/>
      <c r="C110" s="669"/>
      <c r="D110" s="669"/>
      <c r="E110" s="670"/>
      <c r="F110" s="619">
        <f>F101+F108</f>
        <v>3119.8525712873143</v>
      </c>
      <c r="H110" s="356"/>
      <c r="I110" s="356"/>
      <c r="J110" s="356"/>
    </row>
    <row r="111" spans="1:10" s="306" customFormat="1" ht="12.6" customHeight="1" x14ac:dyDescent="0.2">
      <c r="A111" s="470"/>
      <c r="B111" s="470"/>
      <c r="C111" s="470"/>
      <c r="D111" s="54"/>
      <c r="E111" s="54"/>
      <c r="F111" s="54"/>
      <c r="H111" s="356"/>
      <c r="I111" s="356"/>
      <c r="J111" s="356"/>
    </row>
    <row r="113" spans="1:10" s="306" customFormat="1" ht="14.25" x14ac:dyDescent="0.2">
      <c r="A113" s="667"/>
      <c r="B113" s="667"/>
      <c r="C113" s="667"/>
      <c r="D113" s="667"/>
      <c r="E113" s="667"/>
      <c r="F113" s="667"/>
      <c r="H113" s="356"/>
      <c r="I113" s="356"/>
      <c r="J113" s="356"/>
    </row>
    <row r="114" spans="1:10" s="306" customFormat="1" ht="14.25" x14ac:dyDescent="0.2">
      <c r="A114" s="628"/>
      <c r="B114" s="628"/>
      <c r="C114" s="628"/>
      <c r="D114" s="629"/>
      <c r="E114" s="629"/>
      <c r="F114" s="629"/>
      <c r="H114" s="356"/>
      <c r="I114" s="356"/>
      <c r="J114" s="356"/>
    </row>
    <row r="115" spans="1:10" s="306" customFormat="1" ht="14.25" x14ac:dyDescent="0.2">
      <c r="A115" s="628"/>
      <c r="B115" s="628"/>
      <c r="C115" s="628"/>
      <c r="D115" s="629"/>
      <c r="E115" s="629"/>
      <c r="F115" s="629"/>
      <c r="H115" s="356"/>
      <c r="I115" s="356"/>
      <c r="J115" s="356"/>
    </row>
    <row r="116" spans="1:10" s="306" customFormat="1" ht="14.25" x14ac:dyDescent="0.2">
      <c r="A116" s="667"/>
      <c r="B116" s="667"/>
      <c r="C116" s="667"/>
      <c r="D116" s="667"/>
      <c r="E116" s="667"/>
      <c r="F116" s="667"/>
      <c r="H116" s="356"/>
      <c r="I116" s="356"/>
      <c r="J116" s="356"/>
    </row>
    <row r="117" spans="1:10" s="306" customFormat="1" ht="14.25" x14ac:dyDescent="0.2">
      <c r="A117" s="667"/>
      <c r="B117" s="667"/>
      <c r="C117" s="667"/>
      <c r="D117" s="667"/>
      <c r="E117" s="667"/>
      <c r="F117" s="667"/>
      <c r="H117" s="356"/>
      <c r="I117" s="356"/>
      <c r="J117" s="356"/>
    </row>
    <row r="118" spans="1:10" s="306" customFormat="1" ht="14.25" x14ac:dyDescent="0.2">
      <c r="A118" s="667"/>
      <c r="B118" s="667"/>
      <c r="C118" s="667"/>
      <c r="D118" s="667"/>
      <c r="E118" s="667"/>
      <c r="F118" s="667"/>
      <c r="H118" s="356"/>
      <c r="I118" s="356"/>
      <c r="J118" s="356"/>
    </row>
    <row r="119" spans="1:10" s="306" customFormat="1" ht="14.25" x14ac:dyDescent="0.2">
      <c r="A119" s="667"/>
      <c r="B119" s="667"/>
      <c r="C119" s="667"/>
      <c r="D119" s="667"/>
      <c r="E119" s="667"/>
      <c r="F119" s="667"/>
      <c r="H119" s="356"/>
      <c r="I119" s="356"/>
      <c r="J119" s="356"/>
    </row>
    <row r="120" spans="1:10" s="306" customFormat="1" ht="14.25" x14ac:dyDescent="0.2">
      <c r="A120" s="667"/>
      <c r="B120" s="667"/>
      <c r="C120" s="667"/>
      <c r="D120" s="667"/>
      <c r="E120" s="667"/>
      <c r="F120" s="667"/>
      <c r="H120" s="356"/>
      <c r="I120" s="356"/>
      <c r="J120" s="356"/>
    </row>
    <row r="121" spans="1:10" s="306" customFormat="1" ht="14.25" x14ac:dyDescent="0.2">
      <c r="A121" s="667"/>
      <c r="B121" s="667"/>
      <c r="C121" s="667"/>
      <c r="D121" s="667"/>
      <c r="E121" s="667"/>
      <c r="F121" s="667"/>
      <c r="H121" s="356"/>
      <c r="I121" s="356"/>
      <c r="J121" s="356"/>
    </row>
    <row r="141" s="356" customFormat="1" ht="9" customHeight="1" x14ac:dyDescent="0.2"/>
  </sheetData>
  <mergeCells count="19">
    <mergeCell ref="A110:E110"/>
    <mergeCell ref="A10:F10"/>
    <mergeCell ref="A11:F11"/>
    <mergeCell ref="A13:F13"/>
    <mergeCell ref="A26:F26"/>
    <mergeCell ref="A27:E27"/>
    <mergeCell ref="A28:E28"/>
    <mergeCell ref="A29:E29"/>
    <mergeCell ref="A30:E30"/>
    <mergeCell ref="A74:E74"/>
    <mergeCell ref="A90:E90"/>
    <mergeCell ref="A101:E101"/>
    <mergeCell ref="A121:F121"/>
    <mergeCell ref="A113:F113"/>
    <mergeCell ref="A116:F116"/>
    <mergeCell ref="A117:F117"/>
    <mergeCell ref="A118:F118"/>
    <mergeCell ref="A119:F119"/>
    <mergeCell ref="A120:F120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68" fitToHeight="2" orientation="portrait" verticalDpi="300" r:id="rId1"/>
  <headerFooter alignWithMargins="0">
    <oddFooter>&amp;R&amp;P de &amp;N</oddFooter>
  </headerFooter>
  <rowBreaks count="1" manualBreakCount="1">
    <brk id="91" max="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6"/>
  <sheetViews>
    <sheetView topLeftCell="A143" zoomScaleSheetLayoutView="100" workbookViewId="0">
      <selection activeCell="A11" sqref="A11"/>
    </sheetView>
  </sheetViews>
  <sheetFormatPr defaultColWidth="9.140625" defaultRowHeight="12.75" x14ac:dyDescent="0.2"/>
  <cols>
    <col min="1" max="1" width="42" style="356" customWidth="1"/>
    <col min="2" max="2" width="16" style="356" bestFit="1" customWidth="1"/>
    <col min="3" max="3" width="11.85546875" style="356" customWidth="1"/>
    <col min="4" max="4" width="14.7109375" style="306" customWidth="1"/>
    <col min="5" max="5" width="15.42578125" style="306" customWidth="1"/>
    <col min="6" max="6" width="12.42578125" style="306" customWidth="1"/>
    <col min="7" max="7" width="28.140625" style="306" customWidth="1"/>
    <col min="8" max="8" width="9.140625" style="356"/>
    <col min="9" max="9" width="14.5703125" style="356" customWidth="1"/>
    <col min="10" max="10" width="13.42578125" style="356" customWidth="1"/>
    <col min="11" max="16384" width="9.140625" style="356"/>
  </cols>
  <sheetData>
    <row r="1" spans="1:7" hidden="1" x14ac:dyDescent="0.2">
      <c r="A1" s="355" t="s">
        <v>192</v>
      </c>
    </row>
    <row r="2" spans="1:7" hidden="1" x14ac:dyDescent="0.2">
      <c r="A2" s="357" t="s">
        <v>419</v>
      </c>
    </row>
    <row r="3" spans="1:7" hidden="1" x14ac:dyDescent="0.2">
      <c r="A3" s="356" t="s">
        <v>193</v>
      </c>
    </row>
    <row r="4" spans="1:7" hidden="1" x14ac:dyDescent="0.2">
      <c r="A4" s="357" t="s">
        <v>420</v>
      </c>
    </row>
    <row r="5" spans="1:7" ht="16.5" customHeight="1" thickBot="1" x14ac:dyDescent="0.25">
      <c r="A5" s="355" t="s">
        <v>597</v>
      </c>
      <c r="B5" s="357"/>
      <c r="C5" s="357"/>
      <c r="D5" s="6"/>
      <c r="E5" s="6"/>
      <c r="F5" s="6"/>
      <c r="G5" s="6"/>
    </row>
    <row r="6" spans="1:7" s="358" customFormat="1" ht="18" x14ac:dyDescent="0.2">
      <c r="A6" s="671" t="s">
        <v>446</v>
      </c>
      <c r="B6" s="672"/>
      <c r="C6" s="672"/>
      <c r="D6" s="672"/>
      <c r="E6" s="672"/>
      <c r="F6" s="673"/>
      <c r="G6" s="35"/>
    </row>
    <row r="7" spans="1:7" s="358" customFormat="1" ht="21.75" customHeight="1" x14ac:dyDescent="0.2">
      <c r="A7" s="674" t="s">
        <v>45</v>
      </c>
      <c r="B7" s="675"/>
      <c r="C7" s="675"/>
      <c r="D7" s="675"/>
      <c r="E7" s="675"/>
      <c r="F7" s="676"/>
      <c r="G7" s="35"/>
    </row>
    <row r="8" spans="1:7" ht="10.9" customHeight="1" thickBot="1" x14ac:dyDescent="0.25">
      <c r="A8" s="359"/>
      <c r="B8" s="357"/>
      <c r="C8" s="357"/>
      <c r="D8" s="140"/>
      <c r="E8" s="140"/>
      <c r="F8" s="141"/>
      <c r="G8" s="6"/>
    </row>
    <row r="9" spans="1:7" ht="15.75" customHeight="1" thickBot="1" x14ac:dyDescent="0.25">
      <c r="A9" s="664" t="s">
        <v>191</v>
      </c>
      <c r="B9" s="665"/>
      <c r="C9" s="665"/>
      <c r="D9" s="665"/>
      <c r="E9" s="665"/>
      <c r="F9" s="666"/>
      <c r="G9" s="6"/>
    </row>
    <row r="10" spans="1:7" ht="15.75" customHeight="1" x14ac:dyDescent="0.2">
      <c r="A10" s="61" t="s">
        <v>190</v>
      </c>
      <c r="B10" s="39"/>
      <c r="C10" s="39"/>
      <c r="D10" s="239"/>
      <c r="E10" s="108" t="s">
        <v>40</v>
      </c>
      <c r="F10" s="40" t="s">
        <v>2</v>
      </c>
      <c r="G10" s="6"/>
    </row>
    <row r="11" spans="1:7" s="355" customFormat="1" ht="15.75" customHeight="1" x14ac:dyDescent="0.2">
      <c r="A11" s="117" t="str">
        <f>A48</f>
        <v>1. Mão-de-obra</v>
      </c>
      <c r="B11" s="416"/>
      <c r="C11" s="119"/>
      <c r="D11" s="119"/>
      <c r="E11" s="360">
        <f>+F113</f>
        <v>1426.0280663762505</v>
      </c>
      <c r="F11" s="120">
        <f>IFERROR(E11/$E$31,0)</f>
        <v>0.10131458217914976</v>
      </c>
      <c r="G11" s="43"/>
    </row>
    <row r="12" spans="1:7" ht="15.75" hidden="1" customHeight="1" x14ac:dyDescent="0.2">
      <c r="A12" s="48" t="str">
        <f>A49</f>
        <v>1.1. Coletor Turno Dia</v>
      </c>
      <c r="B12" s="417"/>
      <c r="C12" s="46"/>
      <c r="D12" s="46"/>
      <c r="E12" s="418">
        <f>F57</f>
        <v>0</v>
      </c>
      <c r="F12" s="55">
        <f>IFERROR(E12/$E$31,0)</f>
        <v>0</v>
      </c>
      <c r="G12" s="6"/>
    </row>
    <row r="13" spans="1:7" ht="15.75" hidden="1" customHeight="1" x14ac:dyDescent="0.2">
      <c r="A13" s="48" t="str">
        <f>A59</f>
        <v>1.2. Coletor Turno Noite</v>
      </c>
      <c r="B13" s="417"/>
      <c r="C13" s="46"/>
      <c r="D13" s="46"/>
      <c r="E13" s="418">
        <f>F69</f>
        <v>0</v>
      </c>
      <c r="F13" s="55">
        <f t="shared" ref="F13:F30" si="0">IFERROR(E13/$E$31,0)</f>
        <v>0</v>
      </c>
      <c r="G13" s="6"/>
    </row>
    <row r="14" spans="1:7" ht="15.75" customHeight="1" x14ac:dyDescent="0.2">
      <c r="A14" s="48" t="str">
        <f>A71</f>
        <v>1.1. Motorista Turno do Dia</v>
      </c>
      <c r="B14" s="417"/>
      <c r="C14" s="46"/>
      <c r="D14" s="46"/>
      <c r="E14" s="418">
        <f>F81</f>
        <v>1369.6930663762505</v>
      </c>
      <c r="F14" s="55">
        <f t="shared" si="0"/>
        <v>9.7312166573427394E-2</v>
      </c>
      <c r="G14" s="6"/>
    </row>
    <row r="15" spans="1:7" ht="15.75" hidden="1" customHeight="1" x14ac:dyDescent="0.2">
      <c r="A15" s="48" t="str">
        <f>A84</f>
        <v>1.4. Encarregado</v>
      </c>
      <c r="B15" s="417"/>
      <c r="C15" s="46"/>
      <c r="D15" s="46"/>
      <c r="E15" s="418">
        <f>F91</f>
        <v>0</v>
      </c>
      <c r="F15" s="55">
        <f t="shared" si="0"/>
        <v>0</v>
      </c>
      <c r="G15" s="6"/>
    </row>
    <row r="16" spans="1:7" ht="15.75" hidden="1" customHeight="1" x14ac:dyDescent="0.2">
      <c r="A16" s="48" t="str">
        <f>A93</f>
        <v>1.5. Vale Transporte</v>
      </c>
      <c r="B16" s="417"/>
      <c r="C16" s="46"/>
      <c r="D16" s="46"/>
      <c r="E16" s="418">
        <f>F99</f>
        <v>0</v>
      </c>
      <c r="F16" s="55">
        <f t="shared" si="0"/>
        <v>0</v>
      </c>
      <c r="G16" s="6"/>
    </row>
    <row r="17" spans="1:7" ht="15.75" customHeight="1" x14ac:dyDescent="0.2">
      <c r="A17" s="48" t="str">
        <f>A101</f>
        <v>1.2. Vale-refeição (diário)</v>
      </c>
      <c r="B17" s="417"/>
      <c r="C17" s="46"/>
      <c r="D17" s="46"/>
      <c r="E17" s="418">
        <f>F105</f>
        <v>32.025000000000006</v>
      </c>
      <c r="F17" s="55">
        <f t="shared" si="0"/>
        <v>2.2752704317610538E-3</v>
      </c>
      <c r="G17" s="6"/>
    </row>
    <row r="18" spans="1:7" ht="15.75" customHeight="1" x14ac:dyDescent="0.2">
      <c r="A18" s="48" t="str">
        <f>A107</f>
        <v>1.3. Auxílio Alimentação (mensal)</v>
      </c>
      <c r="B18" s="417"/>
      <c r="C18" s="46"/>
      <c r="D18" s="46"/>
      <c r="E18" s="418">
        <f>F111</f>
        <v>24.310000000000002</v>
      </c>
      <c r="F18" s="55">
        <f t="shared" si="0"/>
        <v>1.727145173961318E-3</v>
      </c>
      <c r="G18" s="6"/>
    </row>
    <row r="19" spans="1:7" s="355" customFormat="1" ht="15.75" customHeight="1" x14ac:dyDescent="0.2">
      <c r="A19" s="653" t="str">
        <f>A115</f>
        <v>2. Uniformes e Equipamentos de Proteção Individual</v>
      </c>
      <c r="B19" s="654"/>
      <c r="C19" s="654"/>
      <c r="D19" s="119"/>
      <c r="E19" s="360">
        <f>+F142</f>
        <v>16.744791666666664</v>
      </c>
      <c r="F19" s="120">
        <f t="shared" si="0"/>
        <v>1.1896621191308523E-3</v>
      </c>
      <c r="G19" s="43"/>
    </row>
    <row r="20" spans="1:7" s="355" customFormat="1" ht="15.75" customHeight="1" x14ac:dyDescent="0.2">
      <c r="A20" s="128" t="str">
        <f>A144</f>
        <v>3. Veículos e Equipamentos</v>
      </c>
      <c r="B20" s="361"/>
      <c r="C20" s="119"/>
      <c r="D20" s="119"/>
      <c r="E20" s="360">
        <f>+F222</f>
        <v>10097.967140046298</v>
      </c>
      <c r="F20" s="120">
        <f t="shared" si="0"/>
        <v>0.71742719920818321</v>
      </c>
      <c r="G20" s="43"/>
    </row>
    <row r="21" spans="1:7" ht="15.75" customHeight="1" x14ac:dyDescent="0.2">
      <c r="A21" s="62" t="str">
        <f>A146</f>
        <v>3.1. Veículo Carreta Basculante xx m³</v>
      </c>
      <c r="B21" s="419"/>
      <c r="C21" s="46"/>
      <c r="D21" s="46"/>
      <c r="E21" s="418">
        <f>SUM(E22:E27)</f>
        <v>10097.967140046298</v>
      </c>
      <c r="F21" s="362">
        <f t="shared" si="0"/>
        <v>0.71742719920818321</v>
      </c>
      <c r="G21" s="6"/>
    </row>
    <row r="22" spans="1:7" ht="15.75" customHeight="1" x14ac:dyDescent="0.2">
      <c r="A22" s="62" t="str">
        <f>A148</f>
        <v>3.1.1. Depreciação</v>
      </c>
      <c r="B22" s="419"/>
      <c r="C22" s="46"/>
      <c r="D22" s="46"/>
      <c r="E22" s="418">
        <f>F162</f>
        <v>478.90104166666669</v>
      </c>
      <c r="F22" s="362">
        <f t="shared" si="0"/>
        <v>3.4024336607142387E-2</v>
      </c>
      <c r="G22" s="6"/>
    </row>
    <row r="23" spans="1:7" ht="15.75" customHeight="1" x14ac:dyDescent="0.2">
      <c r="A23" s="62" t="str">
        <f>A164</f>
        <v>3.1.2. Remuneração do Capital</v>
      </c>
      <c r="B23" s="419"/>
      <c r="C23" s="46"/>
      <c r="D23" s="46"/>
      <c r="E23" s="418">
        <f>F179</f>
        <v>748.43369791666669</v>
      </c>
      <c r="F23" s="362">
        <f t="shared" si="0"/>
        <v>5.3173741233516814E-2</v>
      </c>
      <c r="G23" s="6"/>
    </row>
    <row r="24" spans="1:7" ht="15.75" customHeight="1" x14ac:dyDescent="0.2">
      <c r="A24" s="62" t="str">
        <f>A181</f>
        <v>3.1.3. Impostos e Seguros</v>
      </c>
      <c r="B24" s="419"/>
      <c r="C24" s="46"/>
      <c r="D24" s="46"/>
      <c r="E24" s="418">
        <f>F187</f>
        <v>210.55260416666667</v>
      </c>
      <c r="F24" s="362">
        <f t="shared" si="0"/>
        <v>1.4959066810014233E-2</v>
      </c>
      <c r="G24" s="6"/>
    </row>
    <row r="25" spans="1:7" ht="15.75" customHeight="1" x14ac:dyDescent="0.2">
      <c r="A25" s="62" t="str">
        <f>A189</f>
        <v>3.1.4. Consumos</v>
      </c>
      <c r="B25" s="419"/>
      <c r="C25" s="46"/>
      <c r="D25" s="46"/>
      <c r="E25" s="418">
        <f>F205</f>
        <v>6112.1222962962966</v>
      </c>
      <c r="F25" s="362">
        <f t="shared" si="0"/>
        <v>0.43424609324185587</v>
      </c>
      <c r="G25" s="6"/>
    </row>
    <row r="26" spans="1:7" ht="15.75" customHeight="1" x14ac:dyDescent="0.2">
      <c r="A26" s="62" t="str">
        <f>A207</f>
        <v>3.1.5. Manutenção</v>
      </c>
      <c r="B26" s="419"/>
      <c r="C26" s="46"/>
      <c r="D26" s="46"/>
      <c r="E26" s="418">
        <f>F210</f>
        <v>1452</v>
      </c>
      <c r="F26" s="362">
        <f t="shared" si="0"/>
        <v>0.10315980224565337</v>
      </c>
      <c r="G26" s="6"/>
    </row>
    <row r="27" spans="1:7" ht="15.75" customHeight="1" x14ac:dyDescent="0.2">
      <c r="A27" s="62" t="str">
        <f>A212</f>
        <v>3.1.6. Pneus</v>
      </c>
      <c r="B27" s="419"/>
      <c r="C27" s="46"/>
      <c r="D27" s="46"/>
      <c r="E27" s="418">
        <f>F219</f>
        <v>1095.9575</v>
      </c>
      <c r="F27" s="362">
        <f t="shared" si="0"/>
        <v>7.7864159070000452E-2</v>
      </c>
      <c r="G27" s="6"/>
    </row>
    <row r="28" spans="1:7" s="355" customFormat="1" ht="15.75" hidden="1" customHeight="1" x14ac:dyDescent="0.2">
      <c r="A28" s="128" t="str">
        <f>A224</f>
        <v xml:space="preserve">4. Destinação final </v>
      </c>
      <c r="B28" s="361"/>
      <c r="C28" s="119"/>
      <c r="D28" s="119"/>
      <c r="E28" s="360">
        <f>+F230</f>
        <v>0</v>
      </c>
      <c r="F28" s="120">
        <f t="shared" si="0"/>
        <v>0</v>
      </c>
      <c r="G28" s="43"/>
    </row>
    <row r="29" spans="1:7" s="355" customFormat="1" ht="15.75" customHeight="1" x14ac:dyDescent="0.2">
      <c r="A29" s="128" t="str">
        <f>A232</f>
        <v>4. Monitoramento da Frota</v>
      </c>
      <c r="B29" s="361"/>
      <c r="C29" s="119"/>
      <c r="D29" s="119"/>
      <c r="E29" s="360">
        <f>+F241</f>
        <v>39.0625</v>
      </c>
      <c r="F29" s="120">
        <f t="shared" si="0"/>
        <v>2.7752615531823933E-3</v>
      </c>
      <c r="G29" s="43"/>
    </row>
    <row r="30" spans="1:7" s="355" customFormat="1" ht="15.75" customHeight="1" thickBot="1" x14ac:dyDescent="0.25">
      <c r="A30" s="128" t="str">
        <f>A245</f>
        <v>5. Benefícios e Despesas Indiretas - BDI</v>
      </c>
      <c r="B30" s="361"/>
      <c r="C30" s="119"/>
      <c r="D30" s="119"/>
      <c r="E30" s="363">
        <f>+F251</f>
        <v>2495.4474383382262</v>
      </c>
      <c r="F30" s="120">
        <f t="shared" si="0"/>
        <v>0.17729329494035379</v>
      </c>
      <c r="G30" s="43"/>
    </row>
    <row r="31" spans="1:7" ht="15.75" customHeight="1" thickBot="1" x14ac:dyDescent="0.25">
      <c r="A31" s="41" t="s">
        <v>228</v>
      </c>
      <c r="B31" s="364"/>
      <c r="C31" s="26"/>
      <c r="D31" s="26"/>
      <c r="E31" s="365">
        <f>E11+E19+E20+E28+E29+E30</f>
        <v>14075.249936427441</v>
      </c>
      <c r="F31" s="133">
        <f>F11+F19+F20+F28+F29+F30</f>
        <v>1</v>
      </c>
      <c r="G31" s="6"/>
    </row>
    <row r="33" spans="1:7" ht="13.5" thickBot="1" x14ac:dyDescent="0.25"/>
    <row r="34" spans="1:7" ht="15" customHeight="1" thickBot="1" x14ac:dyDescent="0.25">
      <c r="A34" s="664" t="s">
        <v>95</v>
      </c>
      <c r="B34" s="665"/>
      <c r="C34" s="665"/>
      <c r="D34" s="665"/>
      <c r="E34" s="666"/>
      <c r="G34" s="6"/>
    </row>
    <row r="35" spans="1:7" ht="15" customHeight="1" thickBot="1" x14ac:dyDescent="0.25">
      <c r="A35" s="661" t="s">
        <v>41</v>
      </c>
      <c r="B35" s="662"/>
      <c r="C35" s="662"/>
      <c r="D35" s="663"/>
      <c r="E35" s="47" t="s">
        <v>42</v>
      </c>
      <c r="G35" s="6"/>
    </row>
    <row r="36" spans="1:7" ht="15" hidden="1" customHeight="1" x14ac:dyDescent="0.2">
      <c r="A36" s="420" t="str">
        <f>+A49</f>
        <v>1.1. Coletor Turno Dia</v>
      </c>
      <c r="B36" s="421"/>
      <c r="C36" s="421"/>
      <c r="D36" s="422"/>
      <c r="E36" s="423">
        <f>C56</f>
        <v>0</v>
      </c>
      <c r="G36" s="6"/>
    </row>
    <row r="37" spans="1:7" ht="15" hidden="1" customHeight="1" x14ac:dyDescent="0.2">
      <c r="A37" s="366" t="str">
        <f>+A59</f>
        <v>1.2. Coletor Turno Noite</v>
      </c>
      <c r="B37" s="367"/>
      <c r="C37" s="367"/>
      <c r="D37" s="424"/>
      <c r="E37" s="368">
        <f>C68</f>
        <v>0</v>
      </c>
      <c r="G37" s="6"/>
    </row>
    <row r="38" spans="1:7" ht="15" customHeight="1" x14ac:dyDescent="0.2">
      <c r="A38" s="366" t="str">
        <f>+A71</f>
        <v>1.1. Motorista Turno do Dia</v>
      </c>
      <c r="B38" s="367"/>
      <c r="C38" s="367"/>
      <c r="D38" s="424"/>
      <c r="E38" s="368">
        <f>C80</f>
        <v>1</v>
      </c>
      <c r="G38" s="6"/>
    </row>
    <row r="39" spans="1:7" ht="15" hidden="1" customHeight="1" x14ac:dyDescent="0.2">
      <c r="A39" s="366" t="str">
        <f>+A84</f>
        <v>1.4. Encarregado</v>
      </c>
      <c r="B39" s="367"/>
      <c r="C39" s="367"/>
      <c r="D39" s="424"/>
      <c r="E39" s="368">
        <f>C90</f>
        <v>0</v>
      </c>
      <c r="G39" s="6"/>
    </row>
    <row r="40" spans="1:7" ht="15" customHeight="1" thickBot="1" x14ac:dyDescent="0.25">
      <c r="A40" s="68" t="s">
        <v>60</v>
      </c>
      <c r="B40" s="425"/>
      <c r="C40" s="425"/>
      <c r="D40" s="426"/>
      <c r="E40" s="76">
        <f>SUM(E36:E39)</f>
        <v>1</v>
      </c>
      <c r="G40" s="6"/>
    </row>
    <row r="41" spans="1:7" ht="15" customHeight="1" thickBot="1" x14ac:dyDescent="0.25">
      <c r="A41" s="121"/>
      <c r="B41" s="427"/>
      <c r="C41" s="369"/>
      <c r="D41" s="369"/>
      <c r="E41" s="370"/>
      <c r="G41" s="6"/>
    </row>
    <row r="42" spans="1:7" ht="15" customHeight="1" x14ac:dyDescent="0.2">
      <c r="A42" s="686" t="s">
        <v>58</v>
      </c>
      <c r="B42" s="687"/>
      <c r="C42" s="687"/>
      <c r="D42" s="687"/>
      <c r="E42" s="47" t="s">
        <v>42</v>
      </c>
      <c r="F42" s="356"/>
      <c r="G42" s="6"/>
    </row>
    <row r="43" spans="1:7" ht="15" customHeight="1" thickBot="1" x14ac:dyDescent="0.25">
      <c r="A43" s="428" t="str">
        <f>+A146</f>
        <v>3.1. Veículo Carreta Basculante xx m³</v>
      </c>
      <c r="B43" s="429"/>
      <c r="C43" s="429"/>
      <c r="D43" s="430"/>
      <c r="E43" s="431">
        <f>C161</f>
        <v>1</v>
      </c>
      <c r="F43" s="356"/>
      <c r="G43" s="6"/>
    </row>
    <row r="44" spans="1:7" ht="15" customHeight="1" x14ac:dyDescent="0.2">
      <c r="A44" s="369"/>
      <c r="B44" s="369"/>
      <c r="C44" s="369"/>
      <c r="D44" s="356"/>
      <c r="E44" s="432"/>
      <c r="F44" s="356"/>
      <c r="G44" s="6"/>
    </row>
    <row r="45" spans="1:7" ht="13.5" thickBot="1" x14ac:dyDescent="0.25">
      <c r="A45" s="369"/>
      <c r="B45" s="369"/>
      <c r="C45" s="369"/>
      <c r="D45" s="356"/>
      <c r="E45" s="371"/>
      <c r="G45" s="6"/>
    </row>
    <row r="46" spans="1:7" s="355" customFormat="1" ht="15.75" customHeight="1" thickBot="1" x14ac:dyDescent="0.25">
      <c r="A46" s="240" t="s">
        <v>186</v>
      </c>
      <c r="B46" s="286">
        <f>'11. Horários'!G80</f>
        <v>0.3125</v>
      </c>
      <c r="C46" s="34"/>
      <c r="E46" s="433"/>
      <c r="G46" s="43"/>
    </row>
    <row r="47" spans="1:7" ht="15.75" customHeight="1" x14ac:dyDescent="0.2">
      <c r="A47" s="369"/>
      <c r="B47" s="369"/>
      <c r="C47" s="369"/>
      <c r="D47" s="356"/>
      <c r="E47" s="371"/>
      <c r="F47" s="356"/>
      <c r="G47" s="6"/>
    </row>
    <row r="48" spans="1:7" ht="13.15" customHeight="1" x14ac:dyDescent="0.2">
      <c r="A48" s="355" t="s">
        <v>49</v>
      </c>
    </row>
    <row r="49" spans="1:7" ht="13.9" hidden="1" customHeight="1" thickBot="1" x14ac:dyDescent="0.25">
      <c r="A49" s="356" t="s">
        <v>98</v>
      </c>
    </row>
    <row r="50" spans="1:7" ht="13.9" hidden="1" customHeight="1" thickBot="1" x14ac:dyDescent="0.25">
      <c r="A50" s="372" t="s">
        <v>64</v>
      </c>
      <c r="B50" s="373" t="s">
        <v>65</v>
      </c>
      <c r="C50" s="373" t="s">
        <v>42</v>
      </c>
      <c r="D50" s="59" t="s">
        <v>224</v>
      </c>
      <c r="E50" s="59"/>
      <c r="F50" s="60"/>
    </row>
    <row r="51" spans="1:7" ht="13.15" hidden="1" customHeight="1" x14ac:dyDescent="0.2">
      <c r="A51" s="374" t="s">
        <v>206</v>
      </c>
      <c r="B51" s="375" t="s">
        <v>8</v>
      </c>
      <c r="C51" s="375">
        <v>1</v>
      </c>
      <c r="D51" s="285">
        <f>1221.88</f>
        <v>1221.8800000000001</v>
      </c>
      <c r="E51" s="376"/>
    </row>
    <row r="52" spans="1:7" hidden="1" x14ac:dyDescent="0.2">
      <c r="A52" s="377" t="s">
        <v>1</v>
      </c>
      <c r="B52" s="378" t="s">
        <v>2</v>
      </c>
      <c r="C52" s="378">
        <v>40</v>
      </c>
      <c r="D52" s="379">
        <f>SUM(E51:E51)</f>
        <v>0</v>
      </c>
      <c r="E52" s="307"/>
    </row>
    <row r="53" spans="1:7" hidden="1" x14ac:dyDescent="0.2">
      <c r="A53" s="434" t="s">
        <v>3</v>
      </c>
      <c r="B53" s="435"/>
      <c r="C53" s="435"/>
      <c r="D53" s="111"/>
      <c r="E53" s="112"/>
    </row>
    <row r="54" spans="1:7" hidden="1" x14ac:dyDescent="0.2">
      <c r="A54" s="377" t="s">
        <v>4</v>
      </c>
      <c r="B54" s="378" t="s">
        <v>2</v>
      </c>
      <c r="C54" s="380">
        <f>'[2]2.Encargos Sociais'!$C$34*100</f>
        <v>40</v>
      </c>
      <c r="D54" s="307">
        <f>E53</f>
        <v>0</v>
      </c>
      <c r="E54" s="307"/>
    </row>
    <row r="55" spans="1:7" hidden="1" x14ac:dyDescent="0.2">
      <c r="A55" s="434" t="s">
        <v>73</v>
      </c>
      <c r="B55" s="435"/>
      <c r="C55" s="435"/>
      <c r="D55" s="111"/>
      <c r="E55" s="112"/>
    </row>
    <row r="56" spans="1:7" ht="13.5" hidden="1" thickBot="1" x14ac:dyDescent="0.25">
      <c r="A56" s="377" t="s">
        <v>5</v>
      </c>
      <c r="B56" s="378" t="s">
        <v>6</v>
      </c>
      <c r="C56" s="436">
        <v>0</v>
      </c>
      <c r="D56" s="307">
        <f>E55</f>
        <v>0</v>
      </c>
      <c r="E56" s="307"/>
      <c r="G56" s="6"/>
    </row>
    <row r="57" spans="1:7" ht="13.9" hidden="1" customHeight="1" thickBot="1" x14ac:dyDescent="0.25">
      <c r="D57" s="308" t="s">
        <v>185</v>
      </c>
      <c r="E57" s="309"/>
      <c r="F57" s="116"/>
      <c r="G57" s="6"/>
    </row>
    <row r="58" spans="1:7" ht="11.25" hidden="1" customHeight="1" x14ac:dyDescent="0.2"/>
    <row r="59" spans="1:7" ht="13.5" hidden="1" thickBot="1" x14ac:dyDescent="0.25">
      <c r="A59" s="356" t="s">
        <v>88</v>
      </c>
    </row>
    <row r="60" spans="1:7" ht="13.5" hidden="1" thickBot="1" x14ac:dyDescent="0.25">
      <c r="A60" s="372" t="s">
        <v>64</v>
      </c>
      <c r="B60" s="373" t="s">
        <v>65</v>
      </c>
      <c r="C60" s="373" t="s">
        <v>42</v>
      </c>
      <c r="D60" s="59" t="s">
        <v>224</v>
      </c>
      <c r="E60" s="59"/>
      <c r="F60" s="60"/>
    </row>
    <row r="61" spans="1:7" hidden="1" x14ac:dyDescent="0.2">
      <c r="A61" s="374" t="s">
        <v>206</v>
      </c>
      <c r="B61" s="375" t="s">
        <v>8</v>
      </c>
      <c r="C61" s="375">
        <v>1</v>
      </c>
      <c r="D61" s="376">
        <f>D51</f>
        <v>1221.8800000000001</v>
      </c>
      <c r="E61" s="376"/>
    </row>
    <row r="62" spans="1:7" hidden="1" x14ac:dyDescent="0.2">
      <c r="A62" s="377" t="s">
        <v>7</v>
      </c>
      <c r="B62" s="378" t="s">
        <v>96</v>
      </c>
      <c r="C62" s="437"/>
      <c r="D62" s="307"/>
      <c r="E62" s="307"/>
    </row>
    <row r="63" spans="1:7" hidden="1" x14ac:dyDescent="0.2">
      <c r="A63" s="377"/>
      <c r="B63" s="378" t="s">
        <v>99</v>
      </c>
      <c r="C63" s="438">
        <f>C62*8/7</f>
        <v>0</v>
      </c>
      <c r="D63" s="307">
        <f>D61/220*0.2</f>
        <v>1.1108</v>
      </c>
      <c r="E63" s="307"/>
    </row>
    <row r="64" spans="1:7" hidden="1" x14ac:dyDescent="0.2">
      <c r="A64" s="377" t="s">
        <v>1</v>
      </c>
      <c r="B64" s="378" t="s">
        <v>2</v>
      </c>
      <c r="C64" s="378">
        <f>+C52</f>
        <v>40</v>
      </c>
      <c r="D64" s="379">
        <f>SUM(E61:E63)</f>
        <v>0</v>
      </c>
      <c r="E64" s="307"/>
    </row>
    <row r="65" spans="1:7" hidden="1" x14ac:dyDescent="0.2">
      <c r="A65" s="434" t="s">
        <v>3</v>
      </c>
      <c r="B65" s="435"/>
      <c r="C65" s="435"/>
      <c r="D65" s="111"/>
      <c r="E65" s="112"/>
    </row>
    <row r="66" spans="1:7" hidden="1" x14ac:dyDescent="0.2">
      <c r="A66" s="377" t="s">
        <v>4</v>
      </c>
      <c r="B66" s="378" t="s">
        <v>2</v>
      </c>
      <c r="C66" s="380">
        <f>'[2]2.Encargos Sociais'!$C$34*100</f>
        <v>40</v>
      </c>
      <c r="D66" s="307">
        <f>E65</f>
        <v>0</v>
      </c>
      <c r="E66" s="307"/>
    </row>
    <row r="67" spans="1:7" hidden="1" x14ac:dyDescent="0.2">
      <c r="A67" s="434" t="s">
        <v>73</v>
      </c>
      <c r="B67" s="435"/>
      <c r="C67" s="435"/>
      <c r="D67" s="111"/>
      <c r="E67" s="112"/>
    </row>
    <row r="68" spans="1:7" ht="13.5" hidden="1" thickBot="1" x14ac:dyDescent="0.25">
      <c r="A68" s="377" t="s">
        <v>5</v>
      </c>
      <c r="B68" s="378" t="s">
        <v>6</v>
      </c>
      <c r="C68" s="436"/>
      <c r="D68" s="307">
        <f>E67</f>
        <v>0</v>
      </c>
      <c r="E68" s="307"/>
    </row>
    <row r="69" spans="1:7" ht="13.5" hidden="1" thickBot="1" x14ac:dyDescent="0.25">
      <c r="D69" s="308" t="s">
        <v>185</v>
      </c>
      <c r="E69" s="309"/>
      <c r="F69" s="116"/>
    </row>
    <row r="70" spans="1:7" ht="11.25" hidden="1" customHeight="1" x14ac:dyDescent="0.2"/>
    <row r="71" spans="1:7" ht="13.5" thickBot="1" x14ac:dyDescent="0.25">
      <c r="A71" s="355" t="s">
        <v>592</v>
      </c>
    </row>
    <row r="72" spans="1:7" s="439" customFormat="1" ht="13.15" customHeight="1" thickBot="1" x14ac:dyDescent="0.25">
      <c r="A72" s="372" t="s">
        <v>64</v>
      </c>
      <c r="B72" s="373" t="s">
        <v>65</v>
      </c>
      <c r="C72" s="373" t="s">
        <v>42</v>
      </c>
      <c r="D72" s="59" t="s">
        <v>224</v>
      </c>
      <c r="E72" s="59" t="s">
        <v>66</v>
      </c>
      <c r="F72" s="60" t="s">
        <v>67</v>
      </c>
      <c r="G72" s="306"/>
    </row>
    <row r="73" spans="1:7" x14ac:dyDescent="0.2">
      <c r="A73" s="374" t="s">
        <v>448</v>
      </c>
      <c r="B73" s="375" t="s">
        <v>8</v>
      </c>
      <c r="C73" s="375">
        <v>1</v>
      </c>
      <c r="D73" s="285">
        <v>2103.2600000000002</v>
      </c>
      <c r="E73" s="376">
        <f>C73*D73</f>
        <v>2103.2600000000002</v>
      </c>
    </row>
    <row r="74" spans="1:7" x14ac:dyDescent="0.2">
      <c r="A74" s="374" t="s">
        <v>449</v>
      </c>
      <c r="B74" s="375" t="s">
        <v>8</v>
      </c>
      <c r="C74" s="375">
        <v>1</v>
      </c>
      <c r="D74" s="285">
        <v>1212</v>
      </c>
      <c r="E74" s="376"/>
    </row>
    <row r="75" spans="1:7" x14ac:dyDescent="0.2">
      <c r="A75" s="377" t="s">
        <v>207</v>
      </c>
      <c r="B75" s="378"/>
      <c r="C75" s="436">
        <v>1</v>
      </c>
      <c r="D75" s="307"/>
      <c r="E75" s="307"/>
    </row>
    <row r="76" spans="1:7" x14ac:dyDescent="0.2">
      <c r="A76" s="377" t="s">
        <v>1</v>
      </c>
      <c r="B76" s="378" t="s">
        <v>2</v>
      </c>
      <c r="C76" s="436">
        <v>40</v>
      </c>
      <c r="D76" s="379">
        <f>IF(C75=2,SUM(E73:E74),IF(C75=1,(SUM(E73:E74))*D74/D73,0))</f>
        <v>1212</v>
      </c>
      <c r="E76" s="307">
        <f>C76*D76/100</f>
        <v>484.8</v>
      </c>
    </row>
    <row r="77" spans="1:7" s="355" customFormat="1" x14ac:dyDescent="0.2">
      <c r="A77" s="440" t="s">
        <v>3</v>
      </c>
      <c r="B77" s="435"/>
      <c r="C77" s="435"/>
      <c r="D77" s="111"/>
      <c r="E77" s="98">
        <f>SUM(E73:E76)</f>
        <v>2588.0600000000004</v>
      </c>
      <c r="F77" s="43"/>
      <c r="G77" s="43"/>
    </row>
    <row r="78" spans="1:7" x14ac:dyDescent="0.2">
      <c r="A78" s="377" t="s">
        <v>4</v>
      </c>
      <c r="B78" s="378" t="s">
        <v>2</v>
      </c>
      <c r="C78" s="380">
        <f>'7.Enc Sociais'!C38*100</f>
        <v>69.355340000000012</v>
      </c>
      <c r="D78" s="307">
        <f>E77</f>
        <v>2588.0600000000004</v>
      </c>
      <c r="E78" s="307">
        <f>D78*C78/100</f>
        <v>1794.9578124040008</v>
      </c>
    </row>
    <row r="79" spans="1:7" s="355" customFormat="1" x14ac:dyDescent="0.2">
      <c r="A79" s="440" t="s">
        <v>244</v>
      </c>
      <c r="B79" s="441"/>
      <c r="C79" s="441"/>
      <c r="D79" s="247"/>
      <c r="E79" s="98">
        <f>E77+E78</f>
        <v>4383.0178124040012</v>
      </c>
      <c r="F79" s="43"/>
      <c r="G79" s="43"/>
    </row>
    <row r="80" spans="1:7" ht="13.5" thickBot="1" x14ac:dyDescent="0.25">
      <c r="A80" s="377" t="s">
        <v>5</v>
      </c>
      <c r="B80" s="378" t="s">
        <v>6</v>
      </c>
      <c r="C80" s="436">
        <v>1</v>
      </c>
      <c r="D80" s="307">
        <f>E79</f>
        <v>4383.0178124040012</v>
      </c>
      <c r="E80" s="307">
        <f>C80*D80</f>
        <v>4383.0178124040012</v>
      </c>
    </row>
    <row r="81" spans="1:7" ht="13.5" thickBot="1" x14ac:dyDescent="0.25">
      <c r="A81" s="7"/>
      <c r="D81" s="308" t="s">
        <v>185</v>
      </c>
      <c r="E81" s="347">
        <f>B46</f>
        <v>0.3125</v>
      </c>
      <c r="F81" s="116">
        <f>E80*E81</f>
        <v>1369.6930663762505</v>
      </c>
    </row>
    <row r="82" spans="1:7" x14ac:dyDescent="0.2">
      <c r="A82" s="7"/>
      <c r="D82" s="308"/>
      <c r="E82" s="442"/>
    </row>
    <row r="83" spans="1:7" hidden="1" x14ac:dyDescent="0.2">
      <c r="D83" s="308"/>
      <c r="E83" s="442"/>
    </row>
    <row r="84" spans="1:7" ht="13.5" hidden="1" thickBot="1" x14ac:dyDescent="0.25">
      <c r="A84" s="355" t="s">
        <v>450</v>
      </c>
    </row>
    <row r="85" spans="1:7" ht="13.5" hidden="1" thickBot="1" x14ac:dyDescent="0.25">
      <c r="A85" s="372" t="s">
        <v>64</v>
      </c>
      <c r="B85" s="373" t="s">
        <v>65</v>
      </c>
      <c r="C85" s="373" t="s">
        <v>42</v>
      </c>
      <c r="D85" s="59" t="s">
        <v>224</v>
      </c>
      <c r="E85" s="59" t="s">
        <v>66</v>
      </c>
      <c r="F85" s="60" t="s">
        <v>67</v>
      </c>
    </row>
    <row r="86" spans="1:7" hidden="1" x14ac:dyDescent="0.2">
      <c r="A86" s="374" t="s">
        <v>206</v>
      </c>
      <c r="B86" s="375" t="s">
        <v>8</v>
      </c>
      <c r="C86" s="375">
        <v>1</v>
      </c>
      <c r="D86" s="376">
        <f>8*220</f>
        <v>1760</v>
      </c>
      <c r="E86" s="376">
        <f>C86*D86</f>
        <v>1760</v>
      </c>
    </row>
    <row r="87" spans="1:7" s="355" customFormat="1" hidden="1" x14ac:dyDescent="0.2">
      <c r="A87" s="434" t="s">
        <v>3</v>
      </c>
      <c r="B87" s="435"/>
      <c r="C87" s="435"/>
      <c r="D87" s="111"/>
      <c r="E87" s="112">
        <f>SUM(E86:E86)</f>
        <v>1760</v>
      </c>
      <c r="F87" s="43"/>
      <c r="G87" s="43"/>
    </row>
    <row r="88" spans="1:7" hidden="1" x14ac:dyDescent="0.2">
      <c r="A88" s="377" t="s">
        <v>4</v>
      </c>
      <c r="B88" s="378" t="s">
        <v>2</v>
      </c>
      <c r="C88" s="380">
        <v>0</v>
      </c>
      <c r="D88" s="307">
        <f>E87</f>
        <v>1760</v>
      </c>
      <c r="E88" s="307">
        <f>D88*C88/100</f>
        <v>0</v>
      </c>
    </row>
    <row r="89" spans="1:7" s="355" customFormat="1" hidden="1" x14ac:dyDescent="0.2">
      <c r="A89" s="434" t="s">
        <v>244</v>
      </c>
      <c r="B89" s="435"/>
      <c r="C89" s="435"/>
      <c r="D89" s="111"/>
      <c r="E89" s="112">
        <f>E87+E88</f>
        <v>1760</v>
      </c>
      <c r="F89" s="43"/>
      <c r="G89" s="43"/>
    </row>
    <row r="90" spans="1:7" ht="13.5" hidden="1" thickBot="1" x14ac:dyDescent="0.25">
      <c r="A90" s="377" t="s">
        <v>5</v>
      </c>
      <c r="B90" s="378" t="s">
        <v>6</v>
      </c>
      <c r="C90" s="436">
        <v>0</v>
      </c>
      <c r="D90" s="307">
        <f>E89</f>
        <v>1760</v>
      </c>
      <c r="E90" s="307">
        <f>C90*D90</f>
        <v>0</v>
      </c>
    </row>
    <row r="91" spans="1:7" ht="13.5" hidden="1" thickBot="1" x14ac:dyDescent="0.25">
      <c r="D91" s="308" t="s">
        <v>185</v>
      </c>
      <c r="E91" s="309">
        <f>40/220</f>
        <v>0.18181818181818182</v>
      </c>
      <c r="F91" s="116">
        <f>E90*E91</f>
        <v>0</v>
      </c>
    </row>
    <row r="92" spans="1:7" ht="11.25" hidden="1" customHeight="1" x14ac:dyDescent="0.2">
      <c r="G92" s="356"/>
    </row>
    <row r="93" spans="1:7" ht="13.5" hidden="1" thickBot="1" x14ac:dyDescent="0.25">
      <c r="A93" s="356" t="s">
        <v>451</v>
      </c>
      <c r="B93" s="443"/>
      <c r="D93" s="356"/>
      <c r="E93" s="356"/>
      <c r="G93" s="356"/>
    </row>
    <row r="94" spans="1:7" ht="13.5" hidden="1" thickBot="1" x14ac:dyDescent="0.25">
      <c r="A94" s="372" t="s">
        <v>64</v>
      </c>
      <c r="B94" s="373" t="s">
        <v>65</v>
      </c>
      <c r="C94" s="373" t="s">
        <v>42</v>
      </c>
      <c r="D94" s="59" t="s">
        <v>224</v>
      </c>
      <c r="E94" s="59" t="s">
        <v>66</v>
      </c>
      <c r="F94" s="60" t="s">
        <v>67</v>
      </c>
      <c r="G94" s="356"/>
    </row>
    <row r="95" spans="1:7" hidden="1" x14ac:dyDescent="0.2">
      <c r="A95" s="377" t="s">
        <v>89</v>
      </c>
      <c r="B95" s="378" t="s">
        <v>35</v>
      </c>
      <c r="C95" s="310">
        <v>1</v>
      </c>
      <c r="D95" s="444">
        <v>2.39</v>
      </c>
      <c r="E95" s="307"/>
      <c r="G95" s="356"/>
    </row>
    <row r="96" spans="1:7" hidden="1" x14ac:dyDescent="0.2">
      <c r="A96" s="377" t="s">
        <v>90</v>
      </c>
      <c r="B96" s="378" t="s">
        <v>91</v>
      </c>
      <c r="C96" s="445">
        <v>10</v>
      </c>
      <c r="D96" s="307"/>
      <c r="E96" s="307"/>
      <c r="G96" s="356"/>
    </row>
    <row r="97" spans="1:7" hidden="1" x14ac:dyDescent="0.2">
      <c r="A97" s="377" t="s">
        <v>74</v>
      </c>
      <c r="B97" s="378" t="s">
        <v>9</v>
      </c>
      <c r="C97" s="446"/>
      <c r="D97" s="376"/>
      <c r="E97" s="307">
        <f>IFERROR(C97*D97,"-")</f>
        <v>0</v>
      </c>
      <c r="G97" s="356"/>
    </row>
    <row r="98" spans="1:7" ht="13.5" hidden="1" thickBot="1" x14ac:dyDescent="0.25">
      <c r="A98" s="374" t="s">
        <v>46</v>
      </c>
      <c r="B98" s="375" t="s">
        <v>9</v>
      </c>
      <c r="C98" s="36">
        <v>0</v>
      </c>
      <c r="D98" s="15">
        <f>D95-(E73/42*0.06)</f>
        <v>-0.61465714285714279</v>
      </c>
      <c r="E98" s="15">
        <f>IFERROR(C98*D98,"-")</f>
        <v>0</v>
      </c>
      <c r="G98" s="356"/>
    </row>
    <row r="99" spans="1:7" ht="13.5" hidden="1" thickBot="1" x14ac:dyDescent="0.25">
      <c r="F99" s="22">
        <f>SUM(E97:E98)</f>
        <v>0</v>
      </c>
      <c r="G99" s="356"/>
    </row>
    <row r="100" spans="1:7" ht="11.25" hidden="1" customHeight="1" x14ac:dyDescent="0.2">
      <c r="G100" s="356"/>
    </row>
    <row r="101" spans="1:7" ht="13.5" thickBot="1" x14ac:dyDescent="0.25">
      <c r="A101" s="355" t="s">
        <v>589</v>
      </c>
      <c r="F101" s="23"/>
      <c r="G101" s="356"/>
    </row>
    <row r="102" spans="1:7" ht="13.5" thickBot="1" x14ac:dyDescent="0.25">
      <c r="A102" s="372" t="s">
        <v>64</v>
      </c>
      <c r="B102" s="373" t="s">
        <v>65</v>
      </c>
      <c r="C102" s="373" t="s">
        <v>42</v>
      </c>
      <c r="D102" s="59" t="s">
        <v>224</v>
      </c>
      <c r="E102" s="59" t="s">
        <v>66</v>
      </c>
      <c r="F102" s="60" t="s">
        <v>67</v>
      </c>
      <c r="G102" s="356"/>
    </row>
    <row r="103" spans="1:7" hidden="1" x14ac:dyDescent="0.2">
      <c r="A103" s="377" t="str">
        <f>+A97</f>
        <v>Coletor</v>
      </c>
      <c r="B103" s="378" t="s">
        <v>10</v>
      </c>
      <c r="C103" s="447">
        <v>0</v>
      </c>
      <c r="D103" s="311">
        <v>14</v>
      </c>
      <c r="E103" s="309">
        <f>C103*D103</f>
        <v>0</v>
      </c>
      <c r="F103" s="23"/>
      <c r="G103" s="356"/>
    </row>
    <row r="104" spans="1:7" ht="13.5" thickBot="1" x14ac:dyDescent="0.25">
      <c r="A104" s="377" t="str">
        <f>+A98</f>
        <v>Motorista</v>
      </c>
      <c r="B104" s="378" t="s">
        <v>10</v>
      </c>
      <c r="C104" s="447">
        <f>C96</f>
        <v>10</v>
      </c>
      <c r="D104" s="311">
        <f>12.81*0.8</f>
        <v>10.248000000000001</v>
      </c>
      <c r="E104" s="309">
        <f>C104*D104</f>
        <v>102.48000000000002</v>
      </c>
      <c r="F104" s="23"/>
      <c r="G104" s="356"/>
    </row>
    <row r="105" spans="1:7" ht="13.5" thickBot="1" x14ac:dyDescent="0.25">
      <c r="D105" s="308" t="s">
        <v>185</v>
      </c>
      <c r="E105" s="347">
        <f>$B$46</f>
        <v>0.3125</v>
      </c>
      <c r="F105" s="22">
        <f>E104*E105</f>
        <v>32.025000000000006</v>
      </c>
      <c r="G105" s="356"/>
    </row>
    <row r="106" spans="1:7" x14ac:dyDescent="0.2">
      <c r="G106" s="356"/>
    </row>
    <row r="107" spans="1:7" ht="13.5" thickBot="1" x14ac:dyDescent="0.25">
      <c r="A107" s="355" t="s">
        <v>593</v>
      </c>
      <c r="F107" s="23"/>
      <c r="G107" s="356"/>
    </row>
    <row r="108" spans="1:7" ht="13.5" thickBot="1" x14ac:dyDescent="0.25">
      <c r="A108" s="372" t="s">
        <v>64</v>
      </c>
      <c r="B108" s="373" t="s">
        <v>65</v>
      </c>
      <c r="C108" s="373" t="s">
        <v>42</v>
      </c>
      <c r="D108" s="59" t="s">
        <v>224</v>
      </c>
      <c r="E108" s="59" t="s">
        <v>66</v>
      </c>
      <c r="F108" s="60" t="s">
        <v>67</v>
      </c>
      <c r="G108" s="356"/>
    </row>
    <row r="109" spans="1:7" hidden="1" x14ac:dyDescent="0.2">
      <c r="A109" s="377" t="str">
        <f>+A103</f>
        <v>Coletor</v>
      </c>
      <c r="B109" s="378" t="s">
        <v>10</v>
      </c>
      <c r="C109" s="447">
        <f>E36+E37</f>
        <v>0</v>
      </c>
      <c r="D109" s="311"/>
      <c r="E109" s="309">
        <f>C109*D109</f>
        <v>0</v>
      </c>
      <c r="F109" s="23"/>
      <c r="G109" s="356"/>
    </row>
    <row r="110" spans="1:7" ht="13.5" thickBot="1" x14ac:dyDescent="0.25">
      <c r="A110" s="377" t="str">
        <f>+A104</f>
        <v>Motorista</v>
      </c>
      <c r="B110" s="378" t="s">
        <v>10</v>
      </c>
      <c r="C110" s="447">
        <f>E38+E39</f>
        <v>1</v>
      </c>
      <c r="D110" s="84">
        <f>97.24*0.8</f>
        <v>77.792000000000002</v>
      </c>
      <c r="E110" s="309">
        <f>C110*D110</f>
        <v>77.792000000000002</v>
      </c>
      <c r="F110" s="23"/>
      <c r="G110" s="356"/>
    </row>
    <row r="111" spans="1:7" ht="13.5" thickBot="1" x14ac:dyDescent="0.25">
      <c r="D111" s="308" t="s">
        <v>185</v>
      </c>
      <c r="E111" s="347">
        <f>$B$46</f>
        <v>0.3125</v>
      </c>
      <c r="F111" s="22">
        <f>SUM(E109:E110)*E111</f>
        <v>24.310000000000002</v>
      </c>
      <c r="G111" s="356"/>
    </row>
    <row r="112" spans="1:7" ht="13.5" thickBot="1" x14ac:dyDescent="0.25">
      <c r="G112" s="356"/>
    </row>
    <row r="113" spans="1:7" ht="13.5" thickBot="1" x14ac:dyDescent="0.25">
      <c r="A113" s="381" t="s">
        <v>92</v>
      </c>
      <c r="B113" s="382"/>
      <c r="C113" s="382"/>
      <c r="D113" s="26"/>
      <c r="E113" s="27"/>
      <c r="F113" s="22">
        <f>F111+F105+F99+F91+F81+F69+F57</f>
        <v>1426.0280663762505</v>
      </c>
      <c r="G113" s="356"/>
    </row>
    <row r="115" spans="1:7" x14ac:dyDescent="0.2">
      <c r="A115" s="355" t="s">
        <v>47</v>
      </c>
      <c r="G115" s="356"/>
    </row>
    <row r="116" spans="1:7" ht="11.25" customHeight="1" x14ac:dyDescent="0.2">
      <c r="G116" s="356"/>
    </row>
    <row r="117" spans="1:7" ht="13.9" hidden="1" customHeight="1" x14ac:dyDescent="0.2">
      <c r="A117" s="355" t="s">
        <v>187</v>
      </c>
      <c r="G117" s="356"/>
    </row>
    <row r="118" spans="1:7" ht="11.25" hidden="1" customHeight="1" thickBot="1" x14ac:dyDescent="0.25">
      <c r="G118" s="356"/>
    </row>
    <row r="119" spans="1:7" ht="27.75" hidden="1" customHeight="1" thickBot="1" x14ac:dyDescent="0.25">
      <c r="A119" s="372" t="s">
        <v>64</v>
      </c>
      <c r="B119" s="373" t="s">
        <v>65</v>
      </c>
      <c r="C119" s="448" t="s">
        <v>246</v>
      </c>
      <c r="D119" s="59" t="s">
        <v>224</v>
      </c>
      <c r="E119" s="59" t="s">
        <v>66</v>
      </c>
      <c r="F119" s="60" t="s">
        <v>67</v>
      </c>
      <c r="G119" s="356"/>
    </row>
    <row r="120" spans="1:7" hidden="1" x14ac:dyDescent="0.2">
      <c r="A120" s="374" t="s">
        <v>68</v>
      </c>
      <c r="B120" s="375" t="s">
        <v>10</v>
      </c>
      <c r="C120" s="449">
        <v>6</v>
      </c>
      <c r="D120" s="285">
        <v>70</v>
      </c>
      <c r="E120" s="376">
        <f>IFERROR(D120/C120,0)</f>
        <v>11.666666666666666</v>
      </c>
      <c r="G120" s="356"/>
    </row>
    <row r="121" spans="1:7" ht="13.15" hidden="1" customHeight="1" x14ac:dyDescent="0.2">
      <c r="A121" s="377" t="s">
        <v>30</v>
      </c>
      <c r="B121" s="378" t="s">
        <v>10</v>
      </c>
      <c r="C121" s="449">
        <v>2</v>
      </c>
      <c r="D121" s="285">
        <v>38</v>
      </c>
      <c r="E121" s="376">
        <f t="shared" ref="E121:E126" si="1">IFERROR(D121/C121,0)</f>
        <v>19</v>
      </c>
      <c r="G121" s="356"/>
    </row>
    <row r="122" spans="1:7" hidden="1" x14ac:dyDescent="0.2">
      <c r="A122" s="377" t="s">
        <v>31</v>
      </c>
      <c r="B122" s="378" t="s">
        <v>10</v>
      </c>
      <c r="C122" s="449">
        <v>1</v>
      </c>
      <c r="D122" s="285">
        <v>28</v>
      </c>
      <c r="E122" s="376">
        <f t="shared" si="1"/>
        <v>28</v>
      </c>
      <c r="G122" s="356"/>
    </row>
    <row r="123" spans="1:7" hidden="1" x14ac:dyDescent="0.2">
      <c r="A123" s="377" t="s">
        <v>452</v>
      </c>
      <c r="B123" s="378" t="s">
        <v>50</v>
      </c>
      <c r="C123" s="449">
        <v>3</v>
      </c>
      <c r="D123" s="285">
        <v>56</v>
      </c>
      <c r="E123" s="376">
        <f t="shared" si="1"/>
        <v>18.666666666666668</v>
      </c>
      <c r="G123" s="356"/>
    </row>
    <row r="124" spans="1:7" ht="13.15" hidden="1" customHeight="1" x14ac:dyDescent="0.2">
      <c r="A124" s="377" t="s">
        <v>69</v>
      </c>
      <c r="B124" s="378" t="s">
        <v>10</v>
      </c>
      <c r="C124" s="449">
        <v>6</v>
      </c>
      <c r="D124" s="285">
        <v>65</v>
      </c>
      <c r="E124" s="376">
        <f t="shared" si="1"/>
        <v>10.833333333333334</v>
      </c>
      <c r="G124" s="356"/>
    </row>
    <row r="125" spans="1:7" ht="13.9" hidden="1" customHeight="1" x14ac:dyDescent="0.2">
      <c r="A125" s="377" t="s">
        <v>63</v>
      </c>
      <c r="B125" s="378" t="s">
        <v>51</v>
      </c>
      <c r="C125" s="449">
        <v>3</v>
      </c>
      <c r="D125" s="285">
        <v>20</v>
      </c>
      <c r="E125" s="376">
        <f t="shared" si="1"/>
        <v>6.666666666666667</v>
      </c>
      <c r="G125" s="356"/>
    </row>
    <row r="126" spans="1:7" ht="13.15" hidden="1" customHeight="1" x14ac:dyDescent="0.2">
      <c r="A126" s="377" t="s">
        <v>453</v>
      </c>
      <c r="B126" s="378" t="s">
        <v>454</v>
      </c>
      <c r="C126" s="449">
        <v>1</v>
      </c>
      <c r="D126" s="285">
        <v>50</v>
      </c>
      <c r="E126" s="376">
        <f t="shared" si="1"/>
        <v>50</v>
      </c>
    </row>
    <row r="127" spans="1:7" hidden="1" x14ac:dyDescent="0.2">
      <c r="A127" s="377" t="s">
        <v>5</v>
      </c>
      <c r="B127" s="378" t="s">
        <v>6</v>
      </c>
      <c r="C127" s="450">
        <v>0</v>
      </c>
      <c r="D127" s="307">
        <f>+SUM(E120:E126)</f>
        <v>144.83333333333331</v>
      </c>
      <c r="E127" s="307">
        <f t="shared" ref="E127" si="2">C127*D127</f>
        <v>0</v>
      </c>
    </row>
    <row r="128" spans="1:7" ht="13.5" hidden="1" thickBot="1" x14ac:dyDescent="0.25">
      <c r="D128" s="308" t="s">
        <v>185</v>
      </c>
      <c r="E128" s="309">
        <f>$B$46</f>
        <v>0.3125</v>
      </c>
      <c r="F128" s="116">
        <f>E127*E128</f>
        <v>0</v>
      </c>
    </row>
    <row r="129" spans="1:7" ht="11.25" customHeight="1" x14ac:dyDescent="0.2"/>
    <row r="130" spans="1:7" ht="13.9" customHeight="1" x14ac:dyDescent="0.2">
      <c r="A130" s="356" t="s">
        <v>188</v>
      </c>
    </row>
    <row r="131" spans="1:7" ht="11.25" customHeight="1" thickBot="1" x14ac:dyDescent="0.25"/>
    <row r="132" spans="1:7" ht="24.75" thickBot="1" x14ac:dyDescent="0.25">
      <c r="A132" s="372" t="s">
        <v>64</v>
      </c>
      <c r="B132" s="373" t="s">
        <v>65</v>
      </c>
      <c r="C132" s="448" t="s">
        <v>246</v>
      </c>
      <c r="D132" s="59" t="s">
        <v>224</v>
      </c>
      <c r="E132" s="59" t="s">
        <v>66</v>
      </c>
      <c r="F132" s="60" t="s">
        <v>67</v>
      </c>
    </row>
    <row r="133" spans="1:7" x14ac:dyDescent="0.2">
      <c r="A133" s="374" t="s">
        <v>68</v>
      </c>
      <c r="B133" s="375" t="s">
        <v>10</v>
      </c>
      <c r="C133" s="449">
        <v>12</v>
      </c>
      <c r="D133" s="285">
        <v>110</v>
      </c>
      <c r="E133" s="376">
        <f>IFERROR(D133/C133,0)</f>
        <v>9.1666666666666661</v>
      </c>
    </row>
    <row r="134" spans="1:7" x14ac:dyDescent="0.2">
      <c r="A134" s="377" t="s">
        <v>30</v>
      </c>
      <c r="B134" s="378" t="s">
        <v>10</v>
      </c>
      <c r="C134" s="449">
        <v>4</v>
      </c>
      <c r="D134" s="285">
        <v>35</v>
      </c>
      <c r="E134" s="376">
        <f t="shared" ref="E134:E138" si="3">IFERROR(D134/C134,0)</f>
        <v>8.75</v>
      </c>
    </row>
    <row r="135" spans="1:7" x14ac:dyDescent="0.2">
      <c r="A135" s="377" t="s">
        <v>31</v>
      </c>
      <c r="B135" s="378" t="s">
        <v>10</v>
      </c>
      <c r="C135" s="449">
        <v>3</v>
      </c>
      <c r="D135" s="285">
        <v>35</v>
      </c>
      <c r="E135" s="376">
        <f t="shared" si="3"/>
        <v>11.666666666666666</v>
      </c>
    </row>
    <row r="136" spans="1:7" x14ac:dyDescent="0.2">
      <c r="A136" s="299" t="s">
        <v>560</v>
      </c>
      <c r="B136" s="378" t="s">
        <v>50</v>
      </c>
      <c r="C136" s="449">
        <v>6</v>
      </c>
      <c r="D136" s="285">
        <v>60</v>
      </c>
      <c r="E136" s="376">
        <f t="shared" si="3"/>
        <v>10</v>
      </c>
    </row>
    <row r="137" spans="1:7" x14ac:dyDescent="0.2">
      <c r="A137" s="377" t="s">
        <v>69</v>
      </c>
      <c r="B137" s="378" t="s">
        <v>10</v>
      </c>
      <c r="C137" s="449">
        <v>8</v>
      </c>
      <c r="D137" s="285">
        <v>32</v>
      </c>
      <c r="E137" s="376">
        <f t="shared" si="3"/>
        <v>4</v>
      </c>
      <c r="G137" s="356"/>
    </row>
    <row r="138" spans="1:7" x14ac:dyDescent="0.2">
      <c r="A138" s="377" t="s">
        <v>63</v>
      </c>
      <c r="B138" s="378" t="s">
        <v>51</v>
      </c>
      <c r="C138" s="449">
        <v>2</v>
      </c>
      <c r="D138" s="285">
        <v>20</v>
      </c>
      <c r="E138" s="376">
        <f t="shared" si="3"/>
        <v>10</v>
      </c>
      <c r="G138" s="356"/>
    </row>
    <row r="139" spans="1:7" ht="13.5" thickBot="1" x14ac:dyDescent="0.25">
      <c r="A139" s="377" t="s">
        <v>5</v>
      </c>
      <c r="B139" s="378" t="s">
        <v>6</v>
      </c>
      <c r="C139" s="450">
        <f>E38+E39</f>
        <v>1</v>
      </c>
      <c r="D139" s="307">
        <f>+SUM(E133:E138)</f>
        <v>53.583333333333329</v>
      </c>
      <c r="E139" s="307">
        <f t="shared" ref="E139" si="4">C139*D139</f>
        <v>53.583333333333329</v>
      </c>
      <c r="G139" s="356"/>
    </row>
    <row r="140" spans="1:7" ht="13.5" thickBot="1" x14ac:dyDescent="0.25">
      <c r="D140" s="308" t="s">
        <v>185</v>
      </c>
      <c r="E140" s="347">
        <f>$B$46</f>
        <v>0.3125</v>
      </c>
      <c r="F140" s="116">
        <f>E139*E140</f>
        <v>16.744791666666664</v>
      </c>
      <c r="G140" s="356"/>
    </row>
    <row r="141" spans="1:7" ht="11.25" customHeight="1" thickBot="1" x14ac:dyDescent="0.25">
      <c r="G141" s="356"/>
    </row>
    <row r="142" spans="1:7" ht="13.5" thickBot="1" x14ac:dyDescent="0.25">
      <c r="A142" s="381" t="s">
        <v>189</v>
      </c>
      <c r="B142" s="383"/>
      <c r="C142" s="383"/>
      <c r="D142" s="384"/>
      <c r="E142" s="385"/>
      <c r="F142" s="21">
        <f>+F128+F140</f>
        <v>16.744791666666664</v>
      </c>
      <c r="G142" s="356"/>
    </row>
    <row r="143" spans="1:7" ht="11.25" customHeight="1" x14ac:dyDescent="0.2">
      <c r="G143" s="356"/>
    </row>
    <row r="144" spans="1:7" x14ac:dyDescent="0.2">
      <c r="A144" s="355" t="s">
        <v>56</v>
      </c>
      <c r="G144" s="356"/>
    </row>
    <row r="145" spans="1:10" ht="11.25" customHeight="1" x14ac:dyDescent="0.2">
      <c r="B145" s="100"/>
      <c r="G145" s="356"/>
    </row>
    <row r="146" spans="1:10" x14ac:dyDescent="0.2">
      <c r="A146" s="356" t="s">
        <v>455</v>
      </c>
      <c r="G146" s="356"/>
    </row>
    <row r="147" spans="1:10" ht="11.25" customHeight="1" x14ac:dyDescent="0.2">
      <c r="G147" s="356"/>
    </row>
    <row r="148" spans="1:10" ht="13.5" thickBot="1" x14ac:dyDescent="0.25">
      <c r="A148" s="100" t="s">
        <v>48</v>
      </c>
      <c r="G148" s="356"/>
    </row>
    <row r="149" spans="1:10" ht="13.5" thickBot="1" x14ac:dyDescent="0.25">
      <c r="A149" s="372" t="s">
        <v>64</v>
      </c>
      <c r="B149" s="373" t="s">
        <v>65</v>
      </c>
      <c r="C149" s="373" t="s">
        <v>42</v>
      </c>
      <c r="D149" s="59" t="s">
        <v>224</v>
      </c>
      <c r="E149" s="59" t="s">
        <v>66</v>
      </c>
      <c r="F149" s="60" t="s">
        <v>67</v>
      </c>
      <c r="G149" s="356"/>
    </row>
    <row r="150" spans="1:10" x14ac:dyDescent="0.2">
      <c r="A150" s="374" t="s">
        <v>103</v>
      </c>
      <c r="B150" s="375" t="s">
        <v>10</v>
      </c>
      <c r="C150" s="375">
        <v>1</v>
      </c>
      <c r="D150" s="285">
        <v>260000</v>
      </c>
      <c r="E150" s="376">
        <f>C150*D150</f>
        <v>260000</v>
      </c>
      <c r="G150" s="356"/>
    </row>
    <row r="151" spans="1:10" x14ac:dyDescent="0.2">
      <c r="A151" s="377" t="s">
        <v>100</v>
      </c>
      <c r="B151" s="378" t="s">
        <v>101</v>
      </c>
      <c r="C151" s="436">
        <v>15</v>
      </c>
      <c r="D151" s="379"/>
      <c r="E151" s="307"/>
      <c r="G151" s="356"/>
    </row>
    <row r="152" spans="1:10" x14ac:dyDescent="0.2">
      <c r="A152" s="377" t="s">
        <v>202</v>
      </c>
      <c r="B152" s="378" t="s">
        <v>101</v>
      </c>
      <c r="C152" s="436">
        <v>0</v>
      </c>
      <c r="D152" s="307"/>
      <c r="E152" s="307"/>
      <c r="F152" s="386"/>
      <c r="I152" s="451"/>
      <c r="J152" s="451"/>
    </row>
    <row r="153" spans="1:10" x14ac:dyDescent="0.2">
      <c r="A153" s="377" t="s">
        <v>102</v>
      </c>
      <c r="B153" s="378" t="s">
        <v>2</v>
      </c>
      <c r="C153" s="380">
        <f>'13. Depr'!B17</f>
        <v>70.73</v>
      </c>
      <c r="D153" s="307">
        <f>E150</f>
        <v>260000</v>
      </c>
      <c r="E153" s="307">
        <f>C153*D153/100</f>
        <v>183898</v>
      </c>
    </row>
    <row r="154" spans="1:10" ht="13.5" thickBot="1" x14ac:dyDescent="0.25">
      <c r="A154" s="452" t="s">
        <v>456</v>
      </c>
      <c r="B154" s="453" t="s">
        <v>8</v>
      </c>
      <c r="C154" s="453">
        <f>C151*12</f>
        <v>180</v>
      </c>
      <c r="D154" s="257">
        <f>IF(C152&lt;=C151,E153,0)</f>
        <v>183898</v>
      </c>
      <c r="E154" s="257">
        <f>IFERROR(D154/C154,0)</f>
        <v>1021.6555555555556</v>
      </c>
    </row>
    <row r="155" spans="1:10" ht="13.5" thickTop="1" x14ac:dyDescent="0.2">
      <c r="A155" s="374" t="s">
        <v>457</v>
      </c>
      <c r="B155" s="375" t="s">
        <v>10</v>
      </c>
      <c r="C155" s="375">
        <f>C150</f>
        <v>1</v>
      </c>
      <c r="D155" s="285">
        <v>130000</v>
      </c>
      <c r="E155" s="376">
        <f>C155*D155</f>
        <v>130000</v>
      </c>
      <c r="G155" s="356"/>
    </row>
    <row r="156" spans="1:10" x14ac:dyDescent="0.2">
      <c r="A156" s="377" t="s">
        <v>458</v>
      </c>
      <c r="B156" s="378" t="s">
        <v>101</v>
      </c>
      <c r="C156" s="436">
        <v>15</v>
      </c>
      <c r="D156" s="307"/>
      <c r="E156" s="307"/>
    </row>
    <row r="157" spans="1:10" x14ac:dyDescent="0.2">
      <c r="A157" s="377" t="s">
        <v>459</v>
      </c>
      <c r="B157" s="378" t="s">
        <v>101</v>
      </c>
      <c r="C157" s="436">
        <v>0</v>
      </c>
      <c r="D157" s="307"/>
      <c r="E157" s="307"/>
      <c r="F157" s="386"/>
      <c r="I157" s="451"/>
      <c r="J157" s="451"/>
    </row>
    <row r="158" spans="1:10" x14ac:dyDescent="0.2">
      <c r="A158" s="377" t="s">
        <v>460</v>
      </c>
      <c r="B158" s="378" t="s">
        <v>2</v>
      </c>
      <c r="C158" s="454">
        <f>'13. Depr'!B17</f>
        <v>70.73</v>
      </c>
      <c r="D158" s="307">
        <f>E155</f>
        <v>130000</v>
      </c>
      <c r="E158" s="307">
        <f>C158*D158/100</f>
        <v>91949</v>
      </c>
    </row>
    <row r="159" spans="1:10" x14ac:dyDescent="0.2">
      <c r="A159" s="440" t="s">
        <v>461</v>
      </c>
      <c r="B159" s="455" t="s">
        <v>8</v>
      </c>
      <c r="C159" s="455">
        <f>C156*12</f>
        <v>180</v>
      </c>
      <c r="D159" s="98">
        <f>IF(C157&lt;=C156,E158,0)</f>
        <v>91949</v>
      </c>
      <c r="E159" s="98">
        <f>IFERROR(D159/C159,0)</f>
        <v>510.82777777777778</v>
      </c>
    </row>
    <row r="160" spans="1:10" x14ac:dyDescent="0.2">
      <c r="A160" s="434" t="s">
        <v>249</v>
      </c>
      <c r="B160" s="435"/>
      <c r="C160" s="435"/>
      <c r="D160" s="111"/>
      <c r="E160" s="112">
        <f>E154+E159</f>
        <v>1532.4833333333333</v>
      </c>
    </row>
    <row r="161" spans="1:10" ht="13.5" thickBot="1" x14ac:dyDescent="0.25">
      <c r="A161" s="440" t="s">
        <v>250</v>
      </c>
      <c r="B161" s="455" t="s">
        <v>10</v>
      </c>
      <c r="C161" s="436">
        <v>1</v>
      </c>
      <c r="D161" s="98">
        <f>E160</f>
        <v>1532.4833333333333</v>
      </c>
      <c r="E161" s="112">
        <f>C161*D161</f>
        <v>1532.4833333333333</v>
      </c>
    </row>
    <row r="162" spans="1:10" ht="13.5" thickBot="1" x14ac:dyDescent="0.25">
      <c r="A162" s="456"/>
      <c r="B162" s="456"/>
      <c r="C162" s="456"/>
      <c r="D162" s="308" t="s">
        <v>185</v>
      </c>
      <c r="E162" s="347">
        <f>E81</f>
        <v>0.3125</v>
      </c>
      <c r="F162" s="21">
        <f>E161*E162</f>
        <v>478.90104166666669</v>
      </c>
    </row>
    <row r="163" spans="1:10" ht="11.25" customHeight="1" x14ac:dyDescent="0.2"/>
    <row r="164" spans="1:10" ht="13.5" thickBot="1" x14ac:dyDescent="0.25">
      <c r="A164" s="100" t="s">
        <v>107</v>
      </c>
    </row>
    <row r="165" spans="1:10" ht="13.5" thickBot="1" x14ac:dyDescent="0.25">
      <c r="A165" s="457" t="s">
        <v>64</v>
      </c>
      <c r="B165" s="458" t="s">
        <v>65</v>
      </c>
      <c r="C165" s="458" t="s">
        <v>42</v>
      </c>
      <c r="D165" s="59" t="s">
        <v>224</v>
      </c>
      <c r="E165" s="104" t="s">
        <v>66</v>
      </c>
      <c r="F165" s="60" t="s">
        <v>67</v>
      </c>
      <c r="I165" s="451"/>
      <c r="J165" s="451"/>
    </row>
    <row r="166" spans="1:10" x14ac:dyDescent="0.2">
      <c r="A166" s="377" t="s">
        <v>106</v>
      </c>
      <c r="B166" s="378" t="s">
        <v>10</v>
      </c>
      <c r="C166" s="375">
        <v>1</v>
      </c>
      <c r="D166" s="307">
        <f>D150</f>
        <v>260000</v>
      </c>
      <c r="E166" s="307">
        <f>C166*D166</f>
        <v>260000</v>
      </c>
      <c r="F166" s="386"/>
      <c r="I166" s="451"/>
      <c r="J166" s="451"/>
    </row>
    <row r="167" spans="1:10" x14ac:dyDescent="0.2">
      <c r="A167" s="377" t="s">
        <v>205</v>
      </c>
      <c r="B167" s="378" t="s">
        <v>2</v>
      </c>
      <c r="C167" s="437">
        <v>10</v>
      </c>
      <c r="D167" s="307"/>
      <c r="E167" s="307"/>
      <c r="F167" s="386"/>
      <c r="I167" s="451"/>
      <c r="J167" s="451"/>
    </row>
    <row r="168" spans="1:10" x14ac:dyDescent="0.2">
      <c r="A168" s="377" t="s">
        <v>203</v>
      </c>
      <c r="B168" s="378" t="s">
        <v>35</v>
      </c>
      <c r="C168" s="459">
        <f>IFERROR(IF(C152&lt;=C151,E150-(C153/(100*C151)*C152)*E150,E150-E153),0)</f>
        <v>260000</v>
      </c>
      <c r="D168" s="307"/>
      <c r="E168" s="307"/>
      <c r="F168" s="386"/>
      <c r="I168" s="451"/>
      <c r="J168" s="451"/>
    </row>
    <row r="169" spans="1:10" x14ac:dyDescent="0.2">
      <c r="A169" s="377" t="s">
        <v>109</v>
      </c>
      <c r="B169" s="378" t="s">
        <v>35</v>
      </c>
      <c r="C169" s="379">
        <f>IFERROR(IF(C152&gt;=C151,C168,((((C168)-(E150-E153))*(((C151-C152)+1)/(2*(C151-C152))))+(E150-E153))),0)</f>
        <v>174180.93333333335</v>
      </c>
      <c r="D169" s="307"/>
      <c r="E169" s="307"/>
      <c r="F169" s="386"/>
      <c r="I169" s="451"/>
      <c r="J169" s="451"/>
    </row>
    <row r="170" spans="1:10" ht="13.5" thickBot="1" x14ac:dyDescent="0.25">
      <c r="A170" s="452" t="s">
        <v>110</v>
      </c>
      <c r="B170" s="453" t="s">
        <v>35</v>
      </c>
      <c r="C170" s="453"/>
      <c r="D170" s="258">
        <f>C167*C169/12/100</f>
        <v>1451.5077777777778</v>
      </c>
      <c r="E170" s="257">
        <f>D170</f>
        <v>1451.5077777777778</v>
      </c>
      <c r="F170" s="386"/>
      <c r="I170" s="451"/>
      <c r="J170" s="451"/>
    </row>
    <row r="171" spans="1:10" ht="13.5" thickTop="1" x14ac:dyDescent="0.2">
      <c r="A171" s="374" t="s">
        <v>462</v>
      </c>
      <c r="B171" s="375" t="s">
        <v>10</v>
      </c>
      <c r="C171" s="375">
        <f>C155</f>
        <v>1</v>
      </c>
      <c r="D171" s="376">
        <f>D155</f>
        <v>130000</v>
      </c>
      <c r="E171" s="376">
        <f>C171*D171</f>
        <v>130000</v>
      </c>
      <c r="F171" s="386"/>
      <c r="I171" s="451"/>
      <c r="J171" s="451"/>
    </row>
    <row r="172" spans="1:10" x14ac:dyDescent="0.2">
      <c r="A172" s="377" t="s">
        <v>205</v>
      </c>
      <c r="B172" s="378" t="s">
        <v>2</v>
      </c>
      <c r="C172" s="647">
        <f>C167</f>
        <v>10</v>
      </c>
      <c r="D172" s="307"/>
      <c r="E172" s="307"/>
      <c r="F172" s="386"/>
      <c r="I172" s="451"/>
      <c r="J172" s="451"/>
    </row>
    <row r="173" spans="1:10" x14ac:dyDescent="0.2">
      <c r="A173" s="377" t="s">
        <v>477</v>
      </c>
      <c r="B173" s="378" t="s">
        <v>35</v>
      </c>
      <c r="C173" s="459">
        <f>IFERROR(IF(C157&lt;=C156,E155-(C158/(100*C156)*C157)*E155,E155-E158),0)</f>
        <v>130000</v>
      </c>
      <c r="D173" s="307"/>
      <c r="E173" s="307"/>
      <c r="F173" s="386"/>
      <c r="I173" s="451"/>
      <c r="J173" s="451"/>
    </row>
    <row r="174" spans="1:10" x14ac:dyDescent="0.2">
      <c r="A174" s="377" t="s">
        <v>463</v>
      </c>
      <c r="B174" s="378" t="s">
        <v>35</v>
      </c>
      <c r="C174" s="379">
        <f>IFERROR(IF(C157&gt;=C156,C173,((((C173)-(E155-E158))*(((C156-C157)+1)/(2*(C156-C157))))+(E155-E158))),0)</f>
        <v>87090.466666666674</v>
      </c>
      <c r="D174" s="307"/>
      <c r="E174" s="307"/>
      <c r="F174" s="386"/>
      <c r="I174" s="451"/>
      <c r="J174" s="451"/>
    </row>
    <row r="175" spans="1:10" x14ac:dyDescent="0.2">
      <c r="A175" s="440" t="s">
        <v>464</v>
      </c>
      <c r="B175" s="455" t="s">
        <v>35</v>
      </c>
      <c r="C175" s="455"/>
      <c r="D175" s="106">
        <f>C172*C174/12/100</f>
        <v>725.75388888888892</v>
      </c>
      <c r="E175" s="98">
        <f>D175</f>
        <v>725.75388888888892</v>
      </c>
      <c r="F175" s="386"/>
      <c r="I175" s="451"/>
      <c r="J175" s="451"/>
    </row>
    <row r="176" spans="1:10" x14ac:dyDescent="0.2">
      <c r="A176" s="96" t="s">
        <v>397</v>
      </c>
      <c r="B176" s="97" t="s">
        <v>8</v>
      </c>
      <c r="C176" s="97">
        <v>1</v>
      </c>
      <c r="D176" s="98">
        <f>IF(C174&lt;=C173,E175,0)</f>
        <v>725.75388888888892</v>
      </c>
      <c r="E176" s="98">
        <f>(E170+E175)*0.1</f>
        <v>217.7261666666667</v>
      </c>
      <c r="F176" s="386"/>
      <c r="I176" s="451"/>
      <c r="J176" s="451"/>
    </row>
    <row r="177" spans="1:10" x14ac:dyDescent="0.2">
      <c r="A177" s="109" t="s">
        <v>249</v>
      </c>
      <c r="B177" s="110"/>
      <c r="C177" s="110"/>
      <c r="D177" s="111"/>
      <c r="E177" s="112">
        <f>E170+E175+E176</f>
        <v>2394.9878333333336</v>
      </c>
      <c r="F177" s="386"/>
      <c r="I177" s="451"/>
      <c r="J177" s="451"/>
    </row>
    <row r="178" spans="1:10" ht="13.5" thickBot="1" x14ac:dyDescent="0.25">
      <c r="A178" s="440" t="s">
        <v>250</v>
      </c>
      <c r="B178" s="455" t="s">
        <v>10</v>
      </c>
      <c r="C178" s="378">
        <f>C161</f>
        <v>1</v>
      </c>
      <c r="D178" s="98">
        <f>E177</f>
        <v>2394.9878333333336</v>
      </c>
      <c r="E178" s="112">
        <f>C178*D178</f>
        <v>2394.9878333333336</v>
      </c>
      <c r="F178" s="386"/>
      <c r="I178" s="451"/>
      <c r="J178" s="451"/>
    </row>
    <row r="179" spans="1:10" ht="13.5" thickBot="1" x14ac:dyDescent="0.25">
      <c r="C179" s="460"/>
      <c r="D179" s="308" t="s">
        <v>185</v>
      </c>
      <c r="E179" s="347">
        <f>E81</f>
        <v>0.3125</v>
      </c>
      <c r="F179" s="21">
        <f>E178*E179</f>
        <v>748.43369791666669</v>
      </c>
      <c r="I179" s="451"/>
      <c r="J179" s="451"/>
    </row>
    <row r="180" spans="1:10" ht="11.25" customHeight="1" x14ac:dyDescent="0.2">
      <c r="I180" s="451"/>
      <c r="J180" s="451"/>
    </row>
    <row r="181" spans="1:10" ht="13.5" thickBot="1" x14ac:dyDescent="0.25">
      <c r="A181" s="356" t="s">
        <v>53</v>
      </c>
      <c r="I181" s="451"/>
      <c r="J181" s="451"/>
    </row>
    <row r="182" spans="1:10" ht="13.5" thickBot="1" x14ac:dyDescent="0.25">
      <c r="A182" s="372" t="s">
        <v>64</v>
      </c>
      <c r="B182" s="373" t="s">
        <v>65</v>
      </c>
      <c r="C182" s="373" t="s">
        <v>42</v>
      </c>
      <c r="D182" s="59" t="s">
        <v>224</v>
      </c>
      <c r="E182" s="59" t="s">
        <v>66</v>
      </c>
      <c r="F182" s="60" t="s">
        <v>67</v>
      </c>
      <c r="I182" s="451"/>
      <c r="J182" s="451"/>
    </row>
    <row r="183" spans="1:10" x14ac:dyDescent="0.2">
      <c r="A183" s="374" t="s">
        <v>12</v>
      </c>
      <c r="B183" s="375" t="s">
        <v>10</v>
      </c>
      <c r="C183" s="376">
        <f>C161</f>
        <v>1</v>
      </c>
      <c r="D183" s="376">
        <f>0.01*C168</f>
        <v>2600</v>
      </c>
      <c r="E183" s="376">
        <f>C183*D183</f>
        <v>2600</v>
      </c>
      <c r="I183" s="451"/>
      <c r="J183" s="451"/>
    </row>
    <row r="184" spans="1:10" x14ac:dyDescent="0.2">
      <c r="A184" s="377" t="s">
        <v>184</v>
      </c>
      <c r="B184" s="378" t="s">
        <v>10</v>
      </c>
      <c r="C184" s="376">
        <f>C161</f>
        <v>1</v>
      </c>
      <c r="D184" s="311">
        <v>85.22</v>
      </c>
      <c r="E184" s="307">
        <f>C184*D184</f>
        <v>85.22</v>
      </c>
      <c r="I184" s="451"/>
      <c r="J184" s="451"/>
    </row>
    <row r="185" spans="1:10" x14ac:dyDescent="0.2">
      <c r="A185" s="377" t="s">
        <v>13</v>
      </c>
      <c r="B185" s="378" t="s">
        <v>10</v>
      </c>
      <c r="C185" s="376">
        <f>C161</f>
        <v>1</v>
      </c>
      <c r="D185" s="311">
        <v>5400</v>
      </c>
      <c r="E185" s="307">
        <f>C185*D185</f>
        <v>5400</v>
      </c>
      <c r="F185" s="31"/>
      <c r="I185" s="451"/>
      <c r="J185" s="451"/>
    </row>
    <row r="186" spans="1:10" ht="13.5" thickBot="1" x14ac:dyDescent="0.25">
      <c r="A186" s="440" t="s">
        <v>14</v>
      </c>
      <c r="B186" s="455" t="s">
        <v>8</v>
      </c>
      <c r="C186" s="455">
        <v>12</v>
      </c>
      <c r="D186" s="98">
        <f>SUM(E183:E185)</f>
        <v>8085.2199999999993</v>
      </c>
      <c r="E186" s="98">
        <f>D186/C186</f>
        <v>673.76833333333332</v>
      </c>
      <c r="I186" s="451"/>
      <c r="J186" s="451"/>
    </row>
    <row r="187" spans="1:10" ht="13.5" thickBot="1" x14ac:dyDescent="0.25">
      <c r="D187" s="308" t="s">
        <v>185</v>
      </c>
      <c r="E187" s="347">
        <f>E81</f>
        <v>0.3125</v>
      </c>
      <c r="F187" s="116">
        <f>E186*E187</f>
        <v>210.55260416666667</v>
      </c>
      <c r="I187" s="451"/>
      <c r="J187" s="451"/>
    </row>
    <row r="188" spans="1:10" ht="11.25" customHeight="1" x14ac:dyDescent="0.2">
      <c r="I188" s="451"/>
      <c r="J188" s="451"/>
    </row>
    <row r="189" spans="1:10" x14ac:dyDescent="0.2">
      <c r="A189" s="356" t="s">
        <v>54</v>
      </c>
      <c r="B189" s="461"/>
      <c r="I189" s="451"/>
      <c r="J189" s="451"/>
    </row>
    <row r="190" spans="1:10" x14ac:dyDescent="0.2">
      <c r="B190" s="461"/>
      <c r="I190" s="451"/>
      <c r="J190" s="451"/>
    </row>
    <row r="191" spans="1:10" x14ac:dyDescent="0.2">
      <c r="A191" s="440" t="s">
        <v>112</v>
      </c>
      <c r="B191" s="462">
        <f>'12. Roteiros'!O46</f>
        <v>2420</v>
      </c>
      <c r="I191" s="451"/>
      <c r="J191" s="451"/>
    </row>
    <row r="192" spans="1:10" ht="13.5" thickBot="1" x14ac:dyDescent="0.25">
      <c r="B192" s="461"/>
      <c r="I192" s="451"/>
      <c r="J192" s="451"/>
    </row>
    <row r="193" spans="1:10" ht="13.5" thickBot="1" x14ac:dyDescent="0.25">
      <c r="A193" s="372" t="s">
        <v>64</v>
      </c>
      <c r="B193" s="373" t="s">
        <v>65</v>
      </c>
      <c r="C193" s="373" t="s">
        <v>248</v>
      </c>
      <c r="D193" s="59" t="s">
        <v>224</v>
      </c>
      <c r="E193" s="59" t="s">
        <v>66</v>
      </c>
      <c r="F193" s="60" t="s">
        <v>67</v>
      </c>
      <c r="I193" s="451"/>
      <c r="J193" s="451"/>
    </row>
    <row r="194" spans="1:10" x14ac:dyDescent="0.2">
      <c r="A194" s="374" t="s">
        <v>15</v>
      </c>
      <c r="B194" s="375" t="s">
        <v>16</v>
      </c>
      <c r="C194" s="463">
        <v>2.7</v>
      </c>
      <c r="D194" s="387">
        <f>'1. Coleta Orgânica'!D241</f>
        <v>6.4</v>
      </c>
      <c r="E194" s="376"/>
      <c r="I194" s="451"/>
      <c r="J194" s="451"/>
    </row>
    <row r="195" spans="1:10" x14ac:dyDescent="0.2">
      <c r="A195" s="377" t="s">
        <v>17</v>
      </c>
      <c r="B195" s="378" t="s">
        <v>18</v>
      </c>
      <c r="C195" s="310">
        <f>B191</f>
        <v>2420</v>
      </c>
      <c r="D195" s="388">
        <f>IFERROR(+D194/C194,"-")</f>
        <v>2.3703703703703702</v>
      </c>
      <c r="E195" s="307">
        <f>IFERROR(C195*D195,"-")</f>
        <v>5736.2962962962956</v>
      </c>
      <c r="I195" s="451"/>
      <c r="J195" s="451"/>
    </row>
    <row r="196" spans="1:10" x14ac:dyDescent="0.2">
      <c r="A196" s="377" t="s">
        <v>225</v>
      </c>
      <c r="B196" s="378" t="s">
        <v>19</v>
      </c>
      <c r="C196" s="464">
        <v>1.8</v>
      </c>
      <c r="D196" s="311">
        <v>16</v>
      </c>
      <c r="E196" s="307"/>
      <c r="G196" s="389"/>
      <c r="I196" s="451"/>
      <c r="J196" s="451"/>
    </row>
    <row r="197" spans="1:10" x14ac:dyDescent="0.2">
      <c r="A197" s="377" t="s">
        <v>20</v>
      </c>
      <c r="B197" s="378" t="s">
        <v>18</v>
      </c>
      <c r="C197" s="310">
        <f>C195</f>
        <v>2420</v>
      </c>
      <c r="D197" s="312">
        <f>+C196*D196/1000</f>
        <v>2.8799999999999999E-2</v>
      </c>
      <c r="E197" s="307">
        <f>C197*D197</f>
        <v>69.695999999999998</v>
      </c>
      <c r="G197" s="389"/>
      <c r="I197" s="451"/>
      <c r="J197" s="451"/>
    </row>
    <row r="198" spans="1:10" x14ac:dyDescent="0.2">
      <c r="A198" s="377" t="s">
        <v>226</v>
      </c>
      <c r="B198" s="378" t="s">
        <v>19</v>
      </c>
      <c r="C198" s="464">
        <v>0.18</v>
      </c>
      <c r="D198" s="311">
        <v>25</v>
      </c>
      <c r="E198" s="307"/>
      <c r="G198" s="389"/>
      <c r="I198" s="451"/>
      <c r="J198" s="451"/>
    </row>
    <row r="199" spans="1:10" x14ac:dyDescent="0.2">
      <c r="A199" s="377" t="s">
        <v>21</v>
      </c>
      <c r="B199" s="378" t="s">
        <v>18</v>
      </c>
      <c r="C199" s="310">
        <f>C195</f>
        <v>2420</v>
      </c>
      <c r="D199" s="312">
        <f>+C198*D198/1000</f>
        <v>4.4999999999999997E-3</v>
      </c>
      <c r="E199" s="307">
        <f>C199*D199</f>
        <v>10.889999999999999</v>
      </c>
      <c r="G199" s="389"/>
      <c r="I199" s="451"/>
      <c r="J199" s="451"/>
    </row>
    <row r="200" spans="1:10" x14ac:dyDescent="0.2">
      <c r="A200" s="377" t="s">
        <v>227</v>
      </c>
      <c r="B200" s="378" t="s">
        <v>19</v>
      </c>
      <c r="C200" s="464">
        <v>2</v>
      </c>
      <c r="D200" s="311">
        <v>21</v>
      </c>
      <c r="E200" s="307"/>
      <c r="G200" s="389"/>
      <c r="I200" s="451"/>
      <c r="J200" s="451"/>
    </row>
    <row r="201" spans="1:10" x14ac:dyDescent="0.2">
      <c r="A201" s="377" t="s">
        <v>22</v>
      </c>
      <c r="B201" s="378" t="s">
        <v>18</v>
      </c>
      <c r="C201" s="310">
        <f>C195</f>
        <v>2420</v>
      </c>
      <c r="D201" s="312">
        <f>+C200*D200/1000</f>
        <v>4.2000000000000003E-2</v>
      </c>
      <c r="E201" s="307">
        <f>C201*D201</f>
        <v>101.64</v>
      </c>
      <c r="G201" s="389"/>
      <c r="I201" s="451"/>
      <c r="J201" s="451"/>
    </row>
    <row r="202" spans="1:10" x14ac:dyDescent="0.2">
      <c r="A202" s="377" t="s">
        <v>23</v>
      </c>
      <c r="B202" s="378" t="s">
        <v>24</v>
      </c>
      <c r="C202" s="464">
        <v>4</v>
      </c>
      <c r="D202" s="311">
        <v>20</v>
      </c>
      <c r="E202" s="307"/>
      <c r="G202" s="389"/>
      <c r="I202" s="451"/>
      <c r="J202" s="451"/>
    </row>
    <row r="203" spans="1:10" x14ac:dyDescent="0.2">
      <c r="A203" s="377" t="s">
        <v>25</v>
      </c>
      <c r="B203" s="378" t="s">
        <v>18</v>
      </c>
      <c r="C203" s="310">
        <f>C195</f>
        <v>2420</v>
      </c>
      <c r="D203" s="312">
        <f>+C202*D202/1000</f>
        <v>0.08</v>
      </c>
      <c r="E203" s="307">
        <f>C203*D203</f>
        <v>193.6</v>
      </c>
      <c r="G203" s="389"/>
      <c r="I203" s="451"/>
      <c r="J203" s="451"/>
    </row>
    <row r="204" spans="1:10" ht="13.5" thickBot="1" x14ac:dyDescent="0.25">
      <c r="A204" s="440" t="s">
        <v>247</v>
      </c>
      <c r="B204" s="455" t="s">
        <v>113</v>
      </c>
      <c r="C204" s="250"/>
      <c r="D204" s="251">
        <f>IFERROR(D195+D197+D199+D201+D203,0)</f>
        <v>2.5256703703703702</v>
      </c>
      <c r="E204" s="307"/>
      <c r="G204" s="389"/>
      <c r="I204" s="451"/>
      <c r="J204" s="451"/>
    </row>
    <row r="205" spans="1:10" ht="13.5" thickBot="1" x14ac:dyDescent="0.25">
      <c r="F205" s="21">
        <f>SUM(E194:E203)</f>
        <v>6112.1222962962966</v>
      </c>
      <c r="I205" s="451"/>
      <c r="J205" s="451"/>
    </row>
    <row r="206" spans="1:10" ht="11.25" customHeight="1" x14ac:dyDescent="0.2">
      <c r="I206" s="451"/>
      <c r="J206" s="451"/>
    </row>
    <row r="207" spans="1:10" ht="13.5" thickBot="1" x14ac:dyDescent="0.25">
      <c r="A207" s="356" t="s">
        <v>55</v>
      </c>
      <c r="I207" s="451"/>
      <c r="J207" s="451"/>
    </row>
    <row r="208" spans="1:10" ht="13.5" thickBot="1" x14ac:dyDescent="0.25">
      <c r="A208" s="372" t="s">
        <v>64</v>
      </c>
      <c r="B208" s="373" t="s">
        <v>65</v>
      </c>
      <c r="C208" s="373" t="s">
        <v>42</v>
      </c>
      <c r="D208" s="59" t="s">
        <v>224</v>
      </c>
      <c r="E208" s="59" t="s">
        <v>66</v>
      </c>
      <c r="F208" s="60" t="s">
        <v>67</v>
      </c>
      <c r="I208" s="451"/>
      <c r="J208" s="451"/>
    </row>
    <row r="209" spans="1:10" ht="13.5" thickBot="1" x14ac:dyDescent="0.25">
      <c r="A209" s="374" t="s">
        <v>111</v>
      </c>
      <c r="B209" s="375" t="s">
        <v>113</v>
      </c>
      <c r="C209" s="310">
        <f>C195</f>
        <v>2420</v>
      </c>
      <c r="D209" s="285">
        <v>0.6</v>
      </c>
      <c r="E209" s="376">
        <f>C209*D209</f>
        <v>1452</v>
      </c>
      <c r="I209" s="451"/>
      <c r="J209" s="451"/>
    </row>
    <row r="210" spans="1:10" ht="13.5" thickBot="1" x14ac:dyDescent="0.25">
      <c r="F210" s="21">
        <f>E209</f>
        <v>1452</v>
      </c>
      <c r="I210" s="451"/>
      <c r="J210" s="451"/>
    </row>
    <row r="211" spans="1:10" ht="11.25" customHeight="1" x14ac:dyDescent="0.2">
      <c r="I211" s="451"/>
      <c r="J211" s="451"/>
    </row>
    <row r="212" spans="1:10" ht="13.5" thickBot="1" x14ac:dyDescent="0.25">
      <c r="A212" s="356" t="s">
        <v>62</v>
      </c>
      <c r="I212" s="451"/>
      <c r="J212" s="451"/>
    </row>
    <row r="213" spans="1:10" ht="13.5" thickBot="1" x14ac:dyDescent="0.25">
      <c r="A213" s="372" t="s">
        <v>64</v>
      </c>
      <c r="B213" s="373" t="s">
        <v>65</v>
      </c>
      <c r="C213" s="373" t="s">
        <v>42</v>
      </c>
      <c r="D213" s="59" t="s">
        <v>224</v>
      </c>
      <c r="E213" s="59" t="s">
        <v>66</v>
      </c>
      <c r="F213" s="60" t="s">
        <v>67</v>
      </c>
      <c r="I213" s="451"/>
      <c r="J213" s="451"/>
    </row>
    <row r="214" spans="1:10" x14ac:dyDescent="0.2">
      <c r="A214" s="374" t="s">
        <v>465</v>
      </c>
      <c r="B214" s="375" t="s">
        <v>10</v>
      </c>
      <c r="C214" s="465">
        <v>10</v>
      </c>
      <c r="D214" s="285">
        <v>2423</v>
      </c>
      <c r="E214" s="376">
        <f>C214*D214</f>
        <v>24230</v>
      </c>
      <c r="I214" s="451"/>
      <c r="J214" s="451"/>
    </row>
    <row r="215" spans="1:10" x14ac:dyDescent="0.2">
      <c r="A215" s="374" t="s">
        <v>114</v>
      </c>
      <c r="B215" s="375" t="s">
        <v>10</v>
      </c>
      <c r="C215" s="465">
        <v>2</v>
      </c>
      <c r="D215" s="390"/>
      <c r="E215" s="376"/>
      <c r="I215" s="451"/>
      <c r="J215" s="451"/>
    </row>
    <row r="216" spans="1:10" x14ac:dyDescent="0.2">
      <c r="A216" s="374" t="s">
        <v>71</v>
      </c>
      <c r="B216" s="375" t="s">
        <v>10</v>
      </c>
      <c r="C216" s="376">
        <f>C214*C215</f>
        <v>20</v>
      </c>
      <c r="D216" s="285">
        <v>600</v>
      </c>
      <c r="E216" s="376">
        <f>C216*D216</f>
        <v>12000</v>
      </c>
      <c r="I216" s="451"/>
      <c r="J216" s="451"/>
    </row>
    <row r="217" spans="1:10" x14ac:dyDescent="0.2">
      <c r="A217" s="377" t="s">
        <v>94</v>
      </c>
      <c r="B217" s="378" t="s">
        <v>26</v>
      </c>
      <c r="C217" s="466">
        <v>80000</v>
      </c>
      <c r="D217" s="307">
        <f>E214+E216</f>
        <v>36230</v>
      </c>
      <c r="E217" s="307">
        <f>IFERROR(D217/C217,"-")</f>
        <v>0.45287500000000003</v>
      </c>
      <c r="I217" s="451"/>
      <c r="J217" s="451"/>
    </row>
    <row r="218" spans="1:10" ht="13.5" thickBot="1" x14ac:dyDescent="0.25">
      <c r="A218" s="377" t="s">
        <v>57</v>
      </c>
      <c r="B218" s="378" t="s">
        <v>18</v>
      </c>
      <c r="C218" s="310">
        <f>B191</f>
        <v>2420</v>
      </c>
      <c r="D218" s="307">
        <f>E217</f>
        <v>0.45287500000000003</v>
      </c>
      <c r="E218" s="307">
        <f>IFERROR(C218*D218,0)</f>
        <v>1095.9575</v>
      </c>
      <c r="I218" s="451"/>
      <c r="J218" s="451"/>
    </row>
    <row r="219" spans="1:10" ht="13.5" thickBot="1" x14ac:dyDescent="0.25">
      <c r="C219" s="467"/>
      <c r="F219" s="21">
        <f>E218</f>
        <v>1095.9575</v>
      </c>
      <c r="I219" s="451"/>
      <c r="J219" s="451"/>
    </row>
    <row r="220" spans="1:10" ht="11.25" customHeight="1" x14ac:dyDescent="0.2">
      <c r="I220" s="451"/>
      <c r="J220" s="451"/>
    </row>
    <row r="221" spans="1:10" ht="11.25" customHeight="1" thickBot="1" x14ac:dyDescent="0.25">
      <c r="G221" s="356"/>
    </row>
    <row r="222" spans="1:10" ht="13.5" thickBot="1" x14ac:dyDescent="0.25">
      <c r="A222" s="381" t="s">
        <v>217</v>
      </c>
      <c r="B222" s="382"/>
      <c r="C222" s="382"/>
      <c r="D222" s="26"/>
      <c r="E222" s="27"/>
      <c r="F222" s="21">
        <f>+SUM(F150:F221)</f>
        <v>10097.967140046298</v>
      </c>
      <c r="G222" s="356"/>
    </row>
    <row r="223" spans="1:10" ht="11.25" customHeight="1" x14ac:dyDescent="0.2">
      <c r="G223" s="356"/>
    </row>
    <row r="224" spans="1:10" hidden="1" x14ac:dyDescent="0.2">
      <c r="A224" s="355" t="s">
        <v>466</v>
      </c>
      <c r="B224" s="355"/>
      <c r="C224" s="355"/>
      <c r="D224" s="34"/>
      <c r="E224" s="34"/>
      <c r="F224" s="33"/>
      <c r="G224" s="356"/>
    </row>
    <row r="225" spans="1:7" ht="11.25" hidden="1" customHeight="1" thickBot="1" x14ac:dyDescent="0.25">
      <c r="G225" s="356"/>
    </row>
    <row r="226" spans="1:7" ht="13.5" hidden="1" thickBot="1" x14ac:dyDescent="0.25">
      <c r="A226" s="372" t="s">
        <v>64</v>
      </c>
      <c r="B226" s="373" t="s">
        <v>65</v>
      </c>
      <c r="C226" s="373" t="s">
        <v>42</v>
      </c>
      <c r="D226" s="59" t="s">
        <v>224</v>
      </c>
      <c r="E226" s="59" t="s">
        <v>66</v>
      </c>
      <c r="F226" s="60" t="s">
        <v>67</v>
      </c>
      <c r="G226" s="356"/>
    </row>
    <row r="227" spans="1:7" ht="13.5" hidden="1" thickBot="1" x14ac:dyDescent="0.25">
      <c r="A227" s="377" t="s">
        <v>421</v>
      </c>
      <c r="B227" s="378" t="s">
        <v>422</v>
      </c>
      <c r="C227" s="391">
        <v>0</v>
      </c>
      <c r="D227" s="285">
        <v>0</v>
      </c>
      <c r="E227" s="307">
        <f>C227*D227</f>
        <v>0</v>
      </c>
      <c r="F227" s="392"/>
      <c r="G227" s="356"/>
    </row>
    <row r="228" spans="1:7" ht="13.5" hidden="1" thickBot="1" x14ac:dyDescent="0.25">
      <c r="A228" s="355"/>
      <c r="B228" s="355"/>
      <c r="C228" s="355"/>
      <c r="D228" s="355"/>
      <c r="E228" s="34"/>
      <c r="F228" s="21">
        <f>SUM(E227:E227)</f>
        <v>0</v>
      </c>
      <c r="G228" s="356"/>
    </row>
    <row r="229" spans="1:7" ht="11.25" hidden="1" customHeight="1" thickBot="1" x14ac:dyDescent="0.25">
      <c r="G229" s="356"/>
    </row>
    <row r="230" spans="1:7" ht="13.5" hidden="1" thickBot="1" x14ac:dyDescent="0.25">
      <c r="A230" s="381" t="s">
        <v>423</v>
      </c>
      <c r="B230" s="382"/>
      <c r="C230" s="382"/>
      <c r="D230" s="26"/>
      <c r="E230" s="27"/>
      <c r="F230" s="21">
        <f>+F228</f>
        <v>0</v>
      </c>
      <c r="G230" s="356"/>
    </row>
    <row r="231" spans="1:7" ht="11.25" customHeight="1" x14ac:dyDescent="0.2">
      <c r="G231" s="356"/>
    </row>
    <row r="232" spans="1:7" x14ac:dyDescent="0.2">
      <c r="A232" s="355" t="s">
        <v>616</v>
      </c>
      <c r="B232" s="355"/>
      <c r="C232" s="355"/>
      <c r="D232" s="34"/>
      <c r="E232" s="34"/>
      <c r="F232" s="33"/>
    </row>
    <row r="233" spans="1:7" ht="11.25" customHeight="1" thickBot="1" x14ac:dyDescent="0.25"/>
    <row r="234" spans="1:7" ht="13.5" thickBot="1" x14ac:dyDescent="0.25">
      <c r="A234" s="372" t="s">
        <v>64</v>
      </c>
      <c r="B234" s="373" t="s">
        <v>65</v>
      </c>
      <c r="C234" s="373" t="s">
        <v>42</v>
      </c>
      <c r="D234" s="59" t="s">
        <v>224</v>
      </c>
      <c r="E234" s="59" t="s">
        <v>66</v>
      </c>
      <c r="F234" s="60" t="s">
        <v>67</v>
      </c>
    </row>
    <row r="235" spans="1:7" x14ac:dyDescent="0.2">
      <c r="A235" s="377" t="s">
        <v>215</v>
      </c>
      <c r="B235" s="468" t="s">
        <v>59</v>
      </c>
      <c r="C235" s="450">
        <f>C150</f>
        <v>1</v>
      </c>
      <c r="D235" s="311">
        <v>300</v>
      </c>
      <c r="E235" s="307">
        <f>+D235*C235</f>
        <v>300</v>
      </c>
      <c r="F235" s="392"/>
    </row>
    <row r="236" spans="1:7" x14ac:dyDescent="0.2">
      <c r="A236" s="377" t="s">
        <v>61</v>
      </c>
      <c r="B236" s="468" t="s">
        <v>8</v>
      </c>
      <c r="C236" s="378">
        <v>60</v>
      </c>
      <c r="D236" s="77">
        <f>SUM(E235:E235)</f>
        <v>300</v>
      </c>
      <c r="E236" s="77">
        <f>+D236/C236</f>
        <v>5</v>
      </c>
      <c r="F236" s="392"/>
    </row>
    <row r="237" spans="1:7" x14ac:dyDescent="0.2">
      <c r="A237" s="377" t="s">
        <v>216</v>
      </c>
      <c r="B237" s="378" t="s">
        <v>10</v>
      </c>
      <c r="C237" s="450">
        <f>+C235</f>
        <v>1</v>
      </c>
      <c r="D237" s="311">
        <v>120</v>
      </c>
      <c r="E237" s="307">
        <f>C237*D237</f>
        <v>120</v>
      </c>
      <c r="F237" s="392"/>
    </row>
    <row r="238" spans="1:7" ht="13.5" thickBot="1" x14ac:dyDescent="0.25">
      <c r="A238" s="377" t="s">
        <v>39</v>
      </c>
      <c r="B238" s="468" t="s">
        <v>8</v>
      </c>
      <c r="C238" s="378">
        <v>1</v>
      </c>
      <c r="D238" s="77">
        <f>+E237</f>
        <v>120</v>
      </c>
      <c r="E238" s="77">
        <f>+D238/C238</f>
        <v>120</v>
      </c>
      <c r="F238" s="392"/>
    </row>
    <row r="239" spans="1:7" ht="13.5" thickBot="1" x14ac:dyDescent="0.25">
      <c r="A239" s="439"/>
      <c r="B239" s="439"/>
      <c r="C239" s="439"/>
      <c r="D239" s="308" t="s">
        <v>185</v>
      </c>
      <c r="E239" s="309">
        <f>$B$46</f>
        <v>0.3125</v>
      </c>
      <c r="F239" s="21">
        <f>(E236+E238)*E239</f>
        <v>39.0625</v>
      </c>
    </row>
    <row r="240" spans="1:7" s="469" customFormat="1" ht="11.25" customHeight="1" thickBot="1" x14ac:dyDescent="0.25">
      <c r="A240" s="356"/>
      <c r="B240" s="356"/>
      <c r="C240" s="356"/>
      <c r="D240" s="306"/>
      <c r="E240" s="306"/>
      <c r="F240" s="306"/>
      <c r="G240" s="79"/>
    </row>
    <row r="241" spans="1:7" ht="13.5" thickBot="1" x14ac:dyDescent="0.25">
      <c r="A241" s="381" t="s">
        <v>214</v>
      </c>
      <c r="B241" s="382"/>
      <c r="C241" s="382"/>
      <c r="D241" s="26"/>
      <c r="E241" s="27"/>
      <c r="F241" s="21">
        <f>+F239</f>
        <v>39.0625</v>
      </c>
    </row>
    <row r="242" spans="1:7" ht="11.25" customHeight="1" thickBot="1" x14ac:dyDescent="0.25"/>
    <row r="243" spans="1:7" ht="17.25" customHeight="1" thickBot="1" x14ac:dyDescent="0.25">
      <c r="A243" s="381" t="s">
        <v>219</v>
      </c>
      <c r="B243" s="383"/>
      <c r="C243" s="383"/>
      <c r="D243" s="384"/>
      <c r="E243" s="385"/>
      <c r="F243" s="22">
        <f>+F113+F142+F222+F230+F241</f>
        <v>11579.802498089215</v>
      </c>
    </row>
    <row r="244" spans="1:7" ht="11.25" customHeight="1" x14ac:dyDescent="0.2"/>
    <row r="245" spans="1:7" x14ac:dyDescent="0.2">
      <c r="A245" s="355" t="s">
        <v>467</v>
      </c>
    </row>
    <row r="246" spans="1:7" ht="11.25" customHeight="1" thickBot="1" x14ac:dyDescent="0.25"/>
    <row r="247" spans="1:7" ht="13.5" thickBot="1" x14ac:dyDescent="0.25">
      <c r="A247" s="372" t="s">
        <v>64</v>
      </c>
      <c r="B247" s="373" t="s">
        <v>65</v>
      </c>
      <c r="C247" s="373" t="s">
        <v>42</v>
      </c>
      <c r="D247" s="59" t="s">
        <v>224</v>
      </c>
      <c r="E247" s="59" t="s">
        <v>66</v>
      </c>
      <c r="F247" s="60" t="s">
        <v>67</v>
      </c>
    </row>
    <row r="248" spans="1:7" ht="13.5" thickBot="1" x14ac:dyDescent="0.25">
      <c r="A248" s="374" t="s">
        <v>38</v>
      </c>
      <c r="B248" s="375" t="s">
        <v>2</v>
      </c>
      <c r="C248" s="380">
        <f>'9.BDI'!C21*100</f>
        <v>21.55</v>
      </c>
      <c r="D248" s="376">
        <f>+F243</f>
        <v>11579.802498089215</v>
      </c>
      <c r="E248" s="376">
        <f>C248*D248/100</f>
        <v>2495.4474383382262</v>
      </c>
    </row>
    <row r="249" spans="1:7" ht="13.5" thickBot="1" x14ac:dyDescent="0.25">
      <c r="F249" s="21">
        <f>+E248</f>
        <v>2495.4474383382262</v>
      </c>
    </row>
    <row r="250" spans="1:7" ht="11.25" customHeight="1" thickBot="1" x14ac:dyDescent="0.25"/>
    <row r="251" spans="1:7" ht="13.5" thickBot="1" x14ac:dyDescent="0.25">
      <c r="A251" s="381" t="s">
        <v>229</v>
      </c>
      <c r="B251" s="383"/>
      <c r="C251" s="383"/>
      <c r="D251" s="384"/>
      <c r="E251" s="385"/>
      <c r="F251" s="22">
        <f>F249</f>
        <v>2495.4474383382262</v>
      </c>
    </row>
    <row r="252" spans="1:7" x14ac:dyDescent="0.2">
      <c r="A252" s="355"/>
      <c r="B252" s="355"/>
      <c r="C252" s="355"/>
      <c r="D252" s="34"/>
      <c r="E252" s="34"/>
      <c r="F252" s="33"/>
    </row>
    <row r="253" spans="1:7" ht="11.25" customHeight="1" thickBot="1" x14ac:dyDescent="0.25"/>
    <row r="254" spans="1:7" ht="24.75" customHeight="1" thickBot="1" x14ac:dyDescent="0.25">
      <c r="A254" s="381" t="s">
        <v>220</v>
      </c>
      <c r="B254" s="383"/>
      <c r="C254" s="383"/>
      <c r="D254" s="384"/>
      <c r="E254" s="385"/>
      <c r="F254" s="22">
        <f>F243+F251</f>
        <v>14075.249936427441</v>
      </c>
    </row>
    <row r="255" spans="1:7" ht="12.6" customHeight="1" x14ac:dyDescent="0.2">
      <c r="A255" s="470"/>
      <c r="B255" s="470"/>
      <c r="C255" s="471"/>
      <c r="D255" s="472"/>
      <c r="E255" s="472"/>
      <c r="F255" s="54"/>
    </row>
    <row r="256" spans="1:7" ht="15.6" customHeight="1" x14ac:dyDescent="0.2">
      <c r="A256" s="38"/>
      <c r="B256" s="306"/>
      <c r="C256" s="306"/>
      <c r="G256" s="6"/>
    </row>
    <row r="286" s="356" customFormat="1" ht="9" customHeight="1" x14ac:dyDescent="0.2"/>
  </sheetData>
  <mergeCells count="7">
    <mergeCell ref="A42:D42"/>
    <mergeCell ref="A6:F6"/>
    <mergeCell ref="A7:F7"/>
    <mergeCell ref="A9:F9"/>
    <mergeCell ref="A19:C19"/>
    <mergeCell ref="A34:E34"/>
    <mergeCell ref="A35:D35"/>
  </mergeCells>
  <hyperlinks>
    <hyperlink ref="A164" location="AbaRemun" display="3.1.2. Remuneração do Capital"/>
    <hyperlink ref="A148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7" fitToHeight="3" orientation="portrait" verticalDpi="300" r:id="rId1"/>
  <headerFooter alignWithMargins="0">
    <oddFooter>&amp;R&amp;P de &amp;N</oddFooter>
  </headerFooter>
  <rowBreaks count="2" manualBreakCount="2">
    <brk id="114" max="5" man="1"/>
    <brk id="188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opLeftCell="A14" zoomScaleSheetLayoutView="100" workbookViewId="0">
      <selection activeCell="A11" sqref="A11"/>
    </sheetView>
  </sheetViews>
  <sheetFormatPr defaultColWidth="9.140625" defaultRowHeight="12.75" x14ac:dyDescent="0.2"/>
  <cols>
    <col min="1" max="1" width="44.5703125" style="356" customWidth="1"/>
    <col min="2" max="2" width="16" style="356" bestFit="1" customWidth="1"/>
    <col min="3" max="3" width="11.85546875" style="356" customWidth="1"/>
    <col min="4" max="4" width="14.7109375" style="306" customWidth="1"/>
    <col min="5" max="5" width="15.42578125" style="306" customWidth="1"/>
    <col min="6" max="6" width="12.42578125" style="306" customWidth="1"/>
    <col min="7" max="7" width="28.140625" style="306" customWidth="1"/>
    <col min="8" max="8" width="9.140625" style="356"/>
    <col min="9" max="9" width="14.5703125" style="356" customWidth="1"/>
    <col min="10" max="10" width="13.42578125" style="356" customWidth="1"/>
    <col min="11" max="16384" width="9.140625" style="356"/>
  </cols>
  <sheetData>
    <row r="1" spans="1:7" hidden="1" x14ac:dyDescent="0.2">
      <c r="A1" s="355" t="s">
        <v>192</v>
      </c>
    </row>
    <row r="2" spans="1:7" hidden="1" x14ac:dyDescent="0.2">
      <c r="A2" s="357" t="s">
        <v>419</v>
      </c>
    </row>
    <row r="3" spans="1:7" hidden="1" x14ac:dyDescent="0.2">
      <c r="A3" s="356" t="s">
        <v>193</v>
      </c>
    </row>
    <row r="4" spans="1:7" hidden="1" x14ac:dyDescent="0.2">
      <c r="A4" s="357" t="s">
        <v>420</v>
      </c>
    </row>
    <row r="5" spans="1:7" ht="16.5" customHeight="1" thickBot="1" x14ac:dyDescent="0.25">
      <c r="A5" s="138" t="s">
        <v>504</v>
      </c>
      <c r="B5" s="357"/>
      <c r="C5" s="357"/>
      <c r="D5" s="6"/>
      <c r="E5" s="6"/>
      <c r="F5" s="6"/>
      <c r="G5" s="6"/>
    </row>
    <row r="6" spans="1:7" s="358" customFormat="1" ht="18" x14ac:dyDescent="0.2">
      <c r="A6" s="671" t="s">
        <v>441</v>
      </c>
      <c r="B6" s="672"/>
      <c r="C6" s="672"/>
      <c r="D6" s="672"/>
      <c r="E6" s="672"/>
      <c r="F6" s="673"/>
      <c r="G6" s="35"/>
    </row>
    <row r="7" spans="1:7" s="358" customFormat="1" ht="21.75" customHeight="1" x14ac:dyDescent="0.2">
      <c r="A7" s="674" t="s">
        <v>45</v>
      </c>
      <c r="B7" s="675"/>
      <c r="C7" s="675"/>
      <c r="D7" s="675"/>
      <c r="E7" s="675"/>
      <c r="F7" s="676"/>
      <c r="G7" s="35"/>
    </row>
    <row r="8" spans="1:7" ht="10.9" customHeight="1" thickBot="1" x14ac:dyDescent="0.25">
      <c r="A8" s="359"/>
      <c r="B8" s="357"/>
      <c r="C8" s="357"/>
      <c r="D8" s="140"/>
      <c r="E8" s="140"/>
      <c r="F8" s="141"/>
      <c r="G8" s="6"/>
    </row>
    <row r="9" spans="1:7" ht="15.75" customHeight="1" thickBot="1" x14ac:dyDescent="0.25">
      <c r="A9" s="664" t="s">
        <v>191</v>
      </c>
      <c r="B9" s="665"/>
      <c r="C9" s="665"/>
      <c r="D9" s="665"/>
      <c r="E9" s="665"/>
      <c r="F9" s="666"/>
      <c r="G9" s="6"/>
    </row>
    <row r="10" spans="1:7" ht="15.75" customHeight="1" x14ac:dyDescent="0.2">
      <c r="A10" s="61" t="s">
        <v>190</v>
      </c>
      <c r="B10" s="39"/>
      <c r="C10" s="39"/>
      <c r="D10" s="239"/>
      <c r="E10" s="108" t="s">
        <v>40</v>
      </c>
      <c r="F10" s="40" t="s">
        <v>2</v>
      </c>
      <c r="G10" s="6"/>
    </row>
    <row r="11" spans="1:7" s="355" customFormat="1" ht="15.75" customHeight="1" x14ac:dyDescent="0.2">
      <c r="A11" s="128" t="str">
        <f>A17</f>
        <v xml:space="preserve">1. Destinação final </v>
      </c>
      <c r="B11" s="361"/>
      <c r="C11" s="119"/>
      <c r="D11" s="119"/>
      <c r="E11" s="360">
        <f>+F23</f>
        <v>45034.266666666663</v>
      </c>
      <c r="F11" s="120">
        <f>IFERROR(E11/$E$13,0)</f>
        <v>0.89895720963682124</v>
      </c>
      <c r="G11" s="43"/>
    </row>
    <row r="12" spans="1:7" s="355" customFormat="1" ht="15.75" customHeight="1" thickBot="1" x14ac:dyDescent="0.25">
      <c r="A12" s="128" t="str">
        <f>A28</f>
        <v>2. Benefícios e Despesas Indiretas - BDI</v>
      </c>
      <c r="B12" s="361"/>
      <c r="C12" s="119"/>
      <c r="D12" s="119"/>
      <c r="E12" s="363">
        <f>+F34</f>
        <v>5061.8515733333325</v>
      </c>
      <c r="F12" s="120">
        <f>IFERROR(E12/$E$13,0)</f>
        <v>0.1010427903631787</v>
      </c>
      <c r="G12" s="43"/>
    </row>
    <row r="13" spans="1:7" ht="15.75" customHeight="1" thickBot="1" x14ac:dyDescent="0.25">
      <c r="A13" s="41" t="s">
        <v>427</v>
      </c>
      <c r="B13" s="364"/>
      <c r="C13" s="26"/>
      <c r="D13" s="26"/>
      <c r="E13" s="365">
        <f>E11+E12</f>
        <v>50096.118239999996</v>
      </c>
      <c r="F13" s="133">
        <f>F11+F12</f>
        <v>1</v>
      </c>
      <c r="G13" s="6"/>
    </row>
    <row r="16" spans="1:7" ht="11.25" customHeight="1" x14ac:dyDescent="0.2">
      <c r="G16" s="356"/>
    </row>
    <row r="17" spans="1:7" x14ac:dyDescent="0.2">
      <c r="A17" s="355" t="s">
        <v>425</v>
      </c>
      <c r="B17" s="355"/>
      <c r="C17" s="355"/>
      <c r="D17" s="34"/>
      <c r="E17" s="34"/>
      <c r="F17" s="33"/>
      <c r="G17" s="356"/>
    </row>
    <row r="18" spans="1:7" ht="11.25" customHeight="1" thickBot="1" x14ac:dyDescent="0.25">
      <c r="G18" s="356"/>
    </row>
    <row r="19" spans="1:7" ht="13.5" thickBot="1" x14ac:dyDescent="0.25">
      <c r="A19" s="372" t="s">
        <v>64</v>
      </c>
      <c r="B19" s="373" t="s">
        <v>65</v>
      </c>
      <c r="C19" s="373" t="s">
        <v>42</v>
      </c>
      <c r="D19" s="59" t="s">
        <v>224</v>
      </c>
      <c r="E19" s="59" t="s">
        <v>66</v>
      </c>
      <c r="F19" s="60" t="s">
        <v>67</v>
      </c>
      <c r="G19" s="356"/>
    </row>
    <row r="20" spans="1:7" ht="13.5" thickBot="1" x14ac:dyDescent="0.25">
      <c r="A20" s="377" t="s">
        <v>421</v>
      </c>
      <c r="B20" s="378" t="s">
        <v>422</v>
      </c>
      <c r="C20" s="391">
        <f>'10. Ton'!C25</f>
        <v>369.13333333333333</v>
      </c>
      <c r="D20" s="285">
        <v>122</v>
      </c>
      <c r="E20" s="307">
        <f>C20*D20</f>
        <v>45034.266666666663</v>
      </c>
      <c r="F20" s="392"/>
      <c r="G20" s="356"/>
    </row>
    <row r="21" spans="1:7" ht="13.5" thickBot="1" x14ac:dyDescent="0.25">
      <c r="A21" s="355"/>
      <c r="B21" s="355"/>
      <c r="C21" s="355"/>
      <c r="D21" s="355"/>
      <c r="E21" s="34"/>
      <c r="F21" s="21">
        <f>SUM(E20:E20)</f>
        <v>45034.266666666663</v>
      </c>
      <c r="G21" s="356"/>
    </row>
    <row r="22" spans="1:7" ht="11.25" customHeight="1" thickBot="1" x14ac:dyDescent="0.25">
      <c r="G22" s="356"/>
    </row>
    <row r="23" spans="1:7" ht="13.5" thickBot="1" x14ac:dyDescent="0.25">
      <c r="A23" s="381" t="s">
        <v>423</v>
      </c>
      <c r="B23" s="382"/>
      <c r="C23" s="382"/>
      <c r="D23" s="26"/>
      <c r="E23" s="27"/>
      <c r="F23" s="21">
        <f>+F21</f>
        <v>45034.266666666663</v>
      </c>
      <c r="G23" s="451"/>
    </row>
    <row r="24" spans="1:7" ht="11.25" customHeight="1" x14ac:dyDescent="0.2">
      <c r="G24" s="356"/>
    </row>
    <row r="25" spans="1:7" ht="11.25" customHeight="1" thickBot="1" x14ac:dyDescent="0.25"/>
    <row r="26" spans="1:7" ht="17.25" customHeight="1" thickBot="1" x14ac:dyDescent="0.25">
      <c r="A26" s="381" t="s">
        <v>219</v>
      </c>
      <c r="B26" s="383"/>
      <c r="C26" s="383"/>
      <c r="D26" s="384"/>
      <c r="E26" s="385"/>
      <c r="F26" s="22">
        <f>F23</f>
        <v>45034.266666666663</v>
      </c>
    </row>
    <row r="27" spans="1:7" ht="11.25" customHeight="1" x14ac:dyDescent="0.2"/>
    <row r="28" spans="1:7" x14ac:dyDescent="0.2">
      <c r="A28" s="355" t="s">
        <v>436</v>
      </c>
    </row>
    <row r="29" spans="1:7" ht="11.25" customHeight="1" thickBot="1" x14ac:dyDescent="0.25"/>
    <row r="30" spans="1:7" ht="13.5" thickBot="1" x14ac:dyDescent="0.25">
      <c r="A30" s="372" t="s">
        <v>64</v>
      </c>
      <c r="B30" s="373" t="s">
        <v>65</v>
      </c>
      <c r="C30" s="373" t="s">
        <v>42</v>
      </c>
      <c r="D30" s="59" t="s">
        <v>224</v>
      </c>
      <c r="E30" s="59" t="s">
        <v>66</v>
      </c>
      <c r="F30" s="60" t="s">
        <v>67</v>
      </c>
    </row>
    <row r="31" spans="1:7" ht="13.5" thickBot="1" x14ac:dyDescent="0.25">
      <c r="A31" s="374" t="s">
        <v>38</v>
      </c>
      <c r="B31" s="375" t="s">
        <v>2</v>
      </c>
      <c r="C31" s="380">
        <f>'9.1 BDI Aterro'!C21*100</f>
        <v>11.24</v>
      </c>
      <c r="D31" s="376">
        <f>+F26</f>
        <v>45034.266666666663</v>
      </c>
      <c r="E31" s="376">
        <f>C31*D31/100</f>
        <v>5061.8515733333325</v>
      </c>
    </row>
    <row r="32" spans="1:7" ht="13.5" thickBot="1" x14ac:dyDescent="0.25">
      <c r="F32" s="21">
        <f>+E31</f>
        <v>5061.8515733333325</v>
      </c>
    </row>
    <row r="33" spans="1:7" ht="11.25" customHeight="1" thickBot="1" x14ac:dyDescent="0.25"/>
    <row r="34" spans="1:7" ht="13.5" thickBot="1" x14ac:dyDescent="0.25">
      <c r="A34" s="381" t="s">
        <v>229</v>
      </c>
      <c r="B34" s="383"/>
      <c r="C34" s="383"/>
      <c r="D34" s="384"/>
      <c r="E34" s="385"/>
      <c r="F34" s="22">
        <f>F32</f>
        <v>5061.8515733333325</v>
      </c>
    </row>
    <row r="35" spans="1:7" x14ac:dyDescent="0.2">
      <c r="A35" s="355"/>
      <c r="B35" s="355"/>
      <c r="C35" s="355"/>
      <c r="D35" s="34"/>
      <c r="E35" s="34"/>
      <c r="F35" s="33"/>
    </row>
    <row r="36" spans="1:7" ht="11.25" customHeight="1" thickBot="1" x14ac:dyDescent="0.25"/>
    <row r="37" spans="1:7" ht="24.75" customHeight="1" x14ac:dyDescent="0.2">
      <c r="A37" s="393" t="s">
        <v>220</v>
      </c>
      <c r="B37" s="394"/>
      <c r="C37" s="394"/>
      <c r="D37" s="395"/>
      <c r="E37" s="396"/>
      <c r="F37" s="397">
        <f>F26+F34</f>
        <v>50096.118239999996</v>
      </c>
    </row>
    <row r="38" spans="1:7" ht="12.6" customHeight="1" x14ac:dyDescent="0.2">
      <c r="A38" s="398" t="s">
        <v>424</v>
      </c>
      <c r="B38" s="399"/>
      <c r="C38" s="400"/>
      <c r="D38" s="401"/>
      <c r="E38" s="401">
        <f>F37/C20</f>
        <v>135.71279999999999</v>
      </c>
      <c r="F38" s="402"/>
    </row>
    <row r="39" spans="1:7" ht="9.75" customHeight="1" x14ac:dyDescent="0.2">
      <c r="A39" s="38"/>
      <c r="B39" s="306"/>
      <c r="C39" s="306"/>
      <c r="G39" s="6"/>
    </row>
    <row r="41" spans="1:7" x14ac:dyDescent="0.2">
      <c r="F41" s="389"/>
    </row>
    <row r="69" s="356" customFormat="1" ht="9" customHeight="1" x14ac:dyDescent="0.2"/>
  </sheetData>
  <mergeCells count="3">
    <mergeCell ref="A6:F6"/>
    <mergeCell ref="A7:F7"/>
    <mergeCell ref="A9:F9"/>
  </mergeCells>
  <pageMargins left="0.9055118110236221" right="0.51181102362204722" top="0.74803149606299213" bottom="0.74803149606299213" header="0.31496062992125984" footer="0.31496062992125984"/>
  <pageSetup paperSize="9" scale="76" orientation="portrait" verticalDpi="300" r:id="rId1"/>
  <headerFooter alignWithMargins="0">
    <oddFooter>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2"/>
  <sheetViews>
    <sheetView view="pageBreakPreview" topLeftCell="A7" zoomScaleSheetLayoutView="100" workbookViewId="0">
      <selection activeCell="A11" sqref="A11:F11"/>
    </sheetView>
  </sheetViews>
  <sheetFormatPr defaultColWidth="9.140625" defaultRowHeight="12.75" x14ac:dyDescent="0.2"/>
  <cols>
    <col min="1" max="1" width="47.28515625" style="7" customWidth="1"/>
    <col min="2" max="2" width="16" style="7" bestFit="1" customWidth="1"/>
    <col min="3" max="3" width="11.85546875" style="7" customWidth="1"/>
    <col min="4" max="4" width="14.7109375" style="306" customWidth="1"/>
    <col min="5" max="5" width="15.42578125" style="306" customWidth="1"/>
    <col min="6" max="6" width="13.28515625" style="306" customWidth="1"/>
    <col min="7" max="7" width="28.140625" style="306" customWidth="1"/>
    <col min="8" max="8" width="9.140625" style="7"/>
    <col min="9" max="9" width="14.5703125" style="7" customWidth="1"/>
    <col min="10" max="10" width="13.42578125" style="7" customWidth="1"/>
    <col min="11" max="16384" width="9.140625" style="7"/>
  </cols>
  <sheetData>
    <row r="1" spans="1:7" hidden="1" x14ac:dyDescent="0.2">
      <c r="A1" s="11" t="s">
        <v>192</v>
      </c>
    </row>
    <row r="2" spans="1:7" hidden="1" x14ac:dyDescent="0.2">
      <c r="A2" s="259" t="s">
        <v>419</v>
      </c>
    </row>
    <row r="3" spans="1:7" s="4" customFormat="1" ht="15.6" hidden="1" customHeight="1" x14ac:dyDescent="0.2">
      <c r="A3" s="7" t="s">
        <v>193</v>
      </c>
      <c r="C3" s="5"/>
      <c r="D3" s="5"/>
      <c r="E3" s="5"/>
      <c r="F3" s="5"/>
      <c r="G3" s="6"/>
    </row>
    <row r="4" spans="1:7" s="4" customFormat="1" ht="15.6" hidden="1" customHeight="1" x14ac:dyDescent="0.2">
      <c r="A4" s="259" t="s">
        <v>420</v>
      </c>
      <c r="B4" s="5"/>
      <c r="C4" s="5"/>
      <c r="D4" s="5"/>
      <c r="E4" s="5"/>
      <c r="F4" s="5"/>
      <c r="G4" s="6"/>
    </row>
    <row r="5" spans="1:7" s="4" customFormat="1" ht="15.6" hidden="1" customHeight="1" x14ac:dyDescent="0.2">
      <c r="A5" s="484"/>
      <c r="B5" s="485"/>
      <c r="C5" s="485"/>
      <c r="D5" s="485"/>
      <c r="E5" s="485"/>
      <c r="F5" s="5"/>
      <c r="G5" s="6"/>
    </row>
    <row r="6" spans="1:7" s="4" customFormat="1" ht="15.6" hidden="1" customHeight="1" x14ac:dyDescent="0.2">
      <c r="A6" s="484"/>
      <c r="B6" s="485"/>
      <c r="C6" s="485"/>
      <c r="D6" s="485"/>
      <c r="E6" s="485"/>
      <c r="F6" s="5"/>
      <c r="G6" s="6"/>
    </row>
    <row r="7" spans="1:7" s="4" customFormat="1" ht="22.5" customHeight="1" thickBot="1" x14ac:dyDescent="0.25">
      <c r="A7" s="138" t="s">
        <v>504</v>
      </c>
      <c r="B7" s="485"/>
      <c r="C7" s="485"/>
      <c r="D7" s="486"/>
      <c r="E7" s="486"/>
      <c r="F7" s="6"/>
      <c r="G7" s="6"/>
    </row>
    <row r="8" spans="1:7" s="8" customFormat="1" ht="18" x14ac:dyDescent="0.2">
      <c r="A8" s="655" t="s">
        <v>547</v>
      </c>
      <c r="B8" s="656"/>
      <c r="C8" s="656"/>
      <c r="D8" s="656"/>
      <c r="E8" s="656"/>
      <c r="F8" s="657"/>
      <c r="G8" s="35"/>
    </row>
    <row r="9" spans="1:7" s="8" customFormat="1" ht="18.600000000000001" customHeight="1" x14ac:dyDescent="0.2">
      <c r="A9" s="658" t="s">
        <v>45</v>
      </c>
      <c r="B9" s="659"/>
      <c r="C9" s="659"/>
      <c r="D9" s="659"/>
      <c r="E9" s="659"/>
      <c r="F9" s="660"/>
      <c r="G9" s="35"/>
    </row>
    <row r="10" spans="1:7" s="4" customFormat="1" ht="7.15" customHeight="1" thickBot="1" x14ac:dyDescent="0.25">
      <c r="A10" s="139"/>
      <c r="B10" s="5"/>
      <c r="C10" s="5"/>
      <c r="D10" s="140"/>
      <c r="E10" s="140"/>
      <c r="F10" s="141"/>
      <c r="G10" s="6"/>
    </row>
    <row r="11" spans="1:7" s="4" customFormat="1" ht="15.75" customHeight="1" thickBot="1" x14ac:dyDescent="0.25">
      <c r="A11" s="664" t="s">
        <v>191</v>
      </c>
      <c r="B11" s="665"/>
      <c r="C11" s="665"/>
      <c r="D11" s="665"/>
      <c r="E11" s="665"/>
      <c r="F11" s="666"/>
      <c r="G11" s="6"/>
    </row>
    <row r="12" spans="1:7" s="4" customFormat="1" ht="15.75" customHeight="1" x14ac:dyDescent="0.2">
      <c r="A12" s="61" t="s">
        <v>190</v>
      </c>
      <c r="B12" s="39"/>
      <c r="C12" s="39"/>
      <c r="D12" s="239"/>
      <c r="E12" s="108" t="s">
        <v>40</v>
      </c>
      <c r="F12" s="40" t="s">
        <v>2</v>
      </c>
      <c r="G12" s="6"/>
    </row>
    <row r="13" spans="1:7" s="4" customFormat="1" ht="15.75" customHeight="1" x14ac:dyDescent="0.2">
      <c r="A13" s="128" t="str">
        <f>A27</f>
        <v xml:space="preserve">1. Contentores </v>
      </c>
      <c r="B13" s="45"/>
      <c r="C13" s="46"/>
      <c r="D13" s="46"/>
      <c r="E13" s="236">
        <f>SUM(E14:E16)</f>
        <v>3893.451</v>
      </c>
      <c r="F13" s="120">
        <f>IFERROR(E13/$E$18,0)</f>
        <v>0.82270670505964616</v>
      </c>
      <c r="G13" s="6"/>
    </row>
    <row r="14" spans="1:7" s="4" customFormat="1" ht="15.75" customHeight="1" x14ac:dyDescent="0.2">
      <c r="A14" s="62" t="str">
        <f>A29</f>
        <v>1.1.1. Depreciação</v>
      </c>
      <c r="B14" s="45"/>
      <c r="C14" s="46"/>
      <c r="D14" s="46"/>
      <c r="E14" s="237">
        <f>F37</f>
        <v>1635.67</v>
      </c>
      <c r="F14" s="362">
        <f>IFERROR(E14/$E$18,0)</f>
        <v>0.34562568689445727</v>
      </c>
      <c r="G14" s="6"/>
    </row>
    <row r="15" spans="1:7" s="4" customFormat="1" ht="15.75" customHeight="1" x14ac:dyDescent="0.2">
      <c r="A15" s="62" t="str">
        <f>A39</f>
        <v>1.1.2. Remuneração do Capital</v>
      </c>
      <c r="B15" s="45"/>
      <c r="C15" s="46"/>
      <c r="D15" s="46"/>
      <c r="E15" s="237">
        <f>F47</f>
        <v>817.83500000000004</v>
      </c>
      <c r="F15" s="362">
        <f>IFERROR(E15/$E$18,0)</f>
        <v>0.17281284344722864</v>
      </c>
      <c r="G15" s="6"/>
    </row>
    <row r="16" spans="1:7" s="4" customFormat="1" ht="15.75" customHeight="1" x14ac:dyDescent="0.2">
      <c r="A16" s="62" t="str">
        <f>A49</f>
        <v xml:space="preserve">1.1.3  Lavagem e manutenção dos contentores </v>
      </c>
      <c r="B16" s="45"/>
      <c r="C16" s="46"/>
      <c r="D16" s="46"/>
      <c r="E16" s="237">
        <f>F55</f>
        <v>1439.9459999999999</v>
      </c>
      <c r="F16" s="362">
        <f>IFERROR(E16/$E$18,0)</f>
        <v>0.3042681747179603</v>
      </c>
      <c r="G16" s="6"/>
    </row>
    <row r="17" spans="1:7" s="11" customFormat="1" ht="15.75" customHeight="1" thickBot="1" x14ac:dyDescent="0.25">
      <c r="A17" s="128" t="str">
        <f>A59</f>
        <v>2. Benefícios e Despesas Indiretas - BDI</v>
      </c>
      <c r="B17" s="129"/>
      <c r="C17" s="119"/>
      <c r="D17" s="119"/>
      <c r="E17" s="238">
        <f>+F65</f>
        <v>839.03869050000003</v>
      </c>
      <c r="F17" s="120">
        <f>IFERROR(E17/$E$18,0)</f>
        <v>0.17729329494035376</v>
      </c>
      <c r="G17" s="43"/>
    </row>
    <row r="18" spans="1:7" s="4" customFormat="1" ht="15.75" customHeight="1" thickBot="1" x14ac:dyDescent="0.25">
      <c r="A18" s="41" t="s">
        <v>548</v>
      </c>
      <c r="B18" s="42"/>
      <c r="C18" s="26"/>
      <c r="D18" s="26"/>
      <c r="E18" s="107">
        <f>E17+E13</f>
        <v>4732.4896905000005</v>
      </c>
      <c r="F18" s="133">
        <f>F13+F17</f>
        <v>0.99999999999999989</v>
      </c>
      <c r="G18" s="6"/>
    </row>
    <row r="19" spans="1:7" ht="9" customHeight="1" x14ac:dyDescent="0.2"/>
    <row r="20" spans="1:7" s="4" customFormat="1" ht="5.45" customHeight="1" thickBot="1" x14ac:dyDescent="0.25">
      <c r="A20" s="121"/>
      <c r="B20" s="122"/>
      <c r="C20" s="369"/>
      <c r="D20" s="369"/>
      <c r="E20" s="370"/>
      <c r="F20" s="306"/>
      <c r="G20" s="6"/>
    </row>
    <row r="21" spans="1:7" s="4" customFormat="1" ht="15" customHeight="1" x14ac:dyDescent="0.2">
      <c r="A21" s="689" t="s">
        <v>479</v>
      </c>
      <c r="B21" s="690"/>
      <c r="C21" s="690"/>
      <c r="D21" s="691"/>
      <c r="E21" s="47" t="s">
        <v>42</v>
      </c>
      <c r="F21" s="7"/>
      <c r="G21" s="6"/>
    </row>
    <row r="22" spans="1:7" s="4" customFormat="1" ht="15" customHeight="1" x14ac:dyDescent="0.2">
      <c r="A22" s="366" t="str">
        <f>+A27</f>
        <v xml:space="preserve">1. Contentores </v>
      </c>
      <c r="B22" s="367"/>
      <c r="C22" s="367"/>
      <c r="D22" s="74"/>
      <c r="E22" s="368">
        <v>60</v>
      </c>
      <c r="F22" s="7"/>
      <c r="G22" s="6"/>
    </row>
    <row r="23" spans="1:7" s="4" customFormat="1" ht="15" customHeight="1" thickBot="1" x14ac:dyDescent="0.25">
      <c r="A23" s="68" t="s">
        <v>480</v>
      </c>
      <c r="B23" s="69"/>
      <c r="C23" s="69"/>
      <c r="D23" s="75"/>
      <c r="E23" s="76">
        <f>SUM(E22)</f>
        <v>60</v>
      </c>
      <c r="F23" s="7"/>
      <c r="G23" s="6"/>
    </row>
    <row r="24" spans="1:7" s="4" customFormat="1" ht="8.4499999999999993" customHeight="1" thickBot="1" x14ac:dyDescent="0.25">
      <c r="A24" s="369"/>
      <c r="B24" s="369"/>
      <c r="C24" s="369"/>
      <c r="D24" s="7"/>
      <c r="E24" s="371"/>
      <c r="F24" s="7"/>
      <c r="G24" s="6"/>
    </row>
    <row r="25" spans="1:7" s="11" customFormat="1" ht="15.75" customHeight="1" thickBot="1" x14ac:dyDescent="0.25">
      <c r="A25" s="240" t="s">
        <v>186</v>
      </c>
      <c r="B25" s="487">
        <v>1</v>
      </c>
      <c r="C25" s="34"/>
      <c r="E25" s="142"/>
      <c r="G25" s="43"/>
    </row>
    <row r="26" spans="1:7" x14ac:dyDescent="0.2">
      <c r="A26" s="11"/>
      <c r="B26" s="11"/>
      <c r="C26" s="11"/>
      <c r="D26" s="34"/>
      <c r="E26" s="34"/>
      <c r="F26" s="33"/>
      <c r="G26" s="7"/>
    </row>
    <row r="27" spans="1:7" x14ac:dyDescent="0.2">
      <c r="A27" s="11" t="s">
        <v>481</v>
      </c>
      <c r="G27" s="7"/>
    </row>
    <row r="28" spans="1:7" x14ac:dyDescent="0.2">
      <c r="G28" s="7"/>
    </row>
    <row r="29" spans="1:7" ht="13.5" thickBot="1" x14ac:dyDescent="0.25">
      <c r="A29" s="100" t="s">
        <v>482</v>
      </c>
      <c r="G29" s="7"/>
    </row>
    <row r="30" spans="1:7" ht="13.5" thickBot="1" x14ac:dyDescent="0.25">
      <c r="A30" s="57" t="s">
        <v>64</v>
      </c>
      <c r="B30" s="58" t="s">
        <v>65</v>
      </c>
      <c r="C30" s="58" t="s">
        <v>42</v>
      </c>
      <c r="D30" s="59" t="s">
        <v>224</v>
      </c>
      <c r="E30" s="59" t="s">
        <v>66</v>
      </c>
      <c r="F30" s="60" t="s">
        <v>67</v>
      </c>
      <c r="G30" s="7"/>
    </row>
    <row r="31" spans="1:7" x14ac:dyDescent="0.2">
      <c r="A31" s="278" t="s">
        <v>483</v>
      </c>
      <c r="B31" s="488" t="s">
        <v>10</v>
      </c>
      <c r="C31" s="488">
        <v>1</v>
      </c>
      <c r="D31" s="285">
        <v>1635.67</v>
      </c>
      <c r="E31" s="376">
        <f>C31*D31</f>
        <v>1635.67</v>
      </c>
      <c r="G31" s="7"/>
    </row>
    <row r="32" spans="1:7" x14ac:dyDescent="0.2">
      <c r="A32" s="299" t="s">
        <v>484</v>
      </c>
      <c r="B32" s="333" t="s">
        <v>101</v>
      </c>
      <c r="C32" s="333">
        <v>5</v>
      </c>
      <c r="D32" s="379"/>
      <c r="E32" s="307"/>
      <c r="G32" s="7"/>
    </row>
    <row r="33" spans="1:7" x14ac:dyDescent="0.2">
      <c r="A33" s="299" t="s">
        <v>485</v>
      </c>
      <c r="B33" s="333" t="s">
        <v>101</v>
      </c>
      <c r="C33" s="489">
        <v>0</v>
      </c>
      <c r="D33" s="379"/>
      <c r="E33" s="307"/>
      <c r="F33" s="386"/>
      <c r="G33" s="7"/>
    </row>
    <row r="34" spans="1:7" x14ac:dyDescent="0.2">
      <c r="A34" s="299" t="s">
        <v>486</v>
      </c>
      <c r="B34" s="333" t="s">
        <v>2</v>
      </c>
      <c r="C34" s="379">
        <v>100</v>
      </c>
      <c r="D34" s="379">
        <f>E31</f>
        <v>1635.67</v>
      </c>
      <c r="E34" s="307">
        <f>C34*D34/100</f>
        <v>1635.67</v>
      </c>
      <c r="G34" s="7"/>
    </row>
    <row r="35" spans="1:7" ht="13.5" thickBot="1" x14ac:dyDescent="0.25">
      <c r="A35" s="255" t="s">
        <v>487</v>
      </c>
      <c r="B35" s="256" t="s">
        <v>8</v>
      </c>
      <c r="C35" s="256">
        <f>C32*12</f>
        <v>60</v>
      </c>
      <c r="D35" s="258">
        <f>IF(C33&lt;=C32,E34,0)</f>
        <v>1635.67</v>
      </c>
      <c r="E35" s="257">
        <f>IFERROR(D35/C35,0)</f>
        <v>27.261166666666668</v>
      </c>
      <c r="G35" s="7"/>
    </row>
    <row r="36" spans="1:7" ht="14.25" thickTop="1" thickBot="1" x14ac:dyDescent="0.25">
      <c r="A36" s="96" t="s">
        <v>488</v>
      </c>
      <c r="B36" s="97" t="s">
        <v>10</v>
      </c>
      <c r="C36" s="490">
        <v>60</v>
      </c>
      <c r="D36" s="106">
        <f>E35</f>
        <v>27.261166666666668</v>
      </c>
      <c r="E36" s="112">
        <f>C36*D36</f>
        <v>1635.67</v>
      </c>
      <c r="G36" s="7"/>
    </row>
    <row r="37" spans="1:7" ht="13.5" thickBot="1" x14ac:dyDescent="0.25">
      <c r="A37" s="253"/>
      <c r="B37" s="253"/>
      <c r="C37" s="253"/>
      <c r="D37" s="308" t="s">
        <v>185</v>
      </c>
      <c r="E37" s="309">
        <f>$B$25</f>
        <v>1</v>
      </c>
      <c r="F37" s="21">
        <f>E36*E37</f>
        <v>1635.67</v>
      </c>
      <c r="G37" s="7"/>
    </row>
    <row r="38" spans="1:7" x14ac:dyDescent="0.2">
      <c r="G38" s="7"/>
    </row>
    <row r="39" spans="1:7" ht="13.5" thickBot="1" x14ac:dyDescent="0.25">
      <c r="A39" s="100" t="s">
        <v>489</v>
      </c>
      <c r="G39" s="7"/>
    </row>
    <row r="40" spans="1:7" ht="13.5" thickBot="1" x14ac:dyDescent="0.25">
      <c r="A40" s="102" t="s">
        <v>64</v>
      </c>
      <c r="B40" s="103" t="s">
        <v>65</v>
      </c>
      <c r="C40" s="103" t="s">
        <v>42</v>
      </c>
      <c r="D40" s="59" t="s">
        <v>224</v>
      </c>
      <c r="E40" s="104" t="s">
        <v>66</v>
      </c>
      <c r="F40" s="60" t="s">
        <v>67</v>
      </c>
      <c r="G40" s="7"/>
    </row>
    <row r="41" spans="1:7" x14ac:dyDescent="0.2">
      <c r="A41" s="299" t="s">
        <v>490</v>
      </c>
      <c r="B41" s="333" t="s">
        <v>10</v>
      </c>
      <c r="C41" s="488">
        <v>1</v>
      </c>
      <c r="D41" s="307">
        <f>D31</f>
        <v>1635.67</v>
      </c>
      <c r="E41" s="307">
        <f>C41*D41</f>
        <v>1635.67</v>
      </c>
      <c r="F41" s="386"/>
      <c r="G41" s="7"/>
    </row>
    <row r="42" spans="1:7" x14ac:dyDescent="0.2">
      <c r="A42" s="299" t="s">
        <v>205</v>
      </c>
      <c r="B42" s="333" t="s">
        <v>2</v>
      </c>
      <c r="C42" s="648">
        <v>10</v>
      </c>
      <c r="D42" s="307"/>
      <c r="E42" s="307"/>
      <c r="F42" s="386"/>
      <c r="G42" s="7"/>
    </row>
    <row r="43" spans="1:7" x14ac:dyDescent="0.2">
      <c r="A43" s="299" t="s">
        <v>491</v>
      </c>
      <c r="B43" s="333" t="s">
        <v>35</v>
      </c>
      <c r="C43" s="491">
        <f>IFERROR(IF(C33&lt;=C32,E31-(C34/(100*C32)*C33)*E31,E31-E34),0)</f>
        <v>1635.67</v>
      </c>
      <c r="D43" s="307"/>
      <c r="E43" s="307"/>
      <c r="F43" s="386"/>
      <c r="G43" s="7"/>
    </row>
    <row r="44" spans="1:7" x14ac:dyDescent="0.2">
      <c r="A44" s="299" t="s">
        <v>492</v>
      </c>
      <c r="B44" s="333" t="s">
        <v>35</v>
      </c>
      <c r="C44" s="379">
        <f>D41</f>
        <v>1635.67</v>
      </c>
      <c r="D44" s="307"/>
      <c r="E44" s="307"/>
      <c r="F44" s="386"/>
      <c r="G44" s="7"/>
    </row>
    <row r="45" spans="1:7" ht="13.5" thickBot="1" x14ac:dyDescent="0.25">
      <c r="A45" s="255" t="s">
        <v>493</v>
      </c>
      <c r="B45" s="256" t="s">
        <v>35</v>
      </c>
      <c r="C45" s="256"/>
      <c r="D45" s="258">
        <f>C42*C44/12/100</f>
        <v>13.630583333333334</v>
      </c>
      <c r="E45" s="257">
        <f>D45</f>
        <v>13.630583333333334</v>
      </c>
      <c r="F45" s="386"/>
      <c r="G45" s="7"/>
    </row>
    <row r="46" spans="1:7" ht="14.25" thickTop="1" thickBot="1" x14ac:dyDescent="0.25">
      <c r="A46" s="96" t="s">
        <v>488</v>
      </c>
      <c r="B46" s="97" t="s">
        <v>10</v>
      </c>
      <c r="C46" s="333">
        <f>C36</f>
        <v>60</v>
      </c>
      <c r="D46" s="98">
        <f>E45</f>
        <v>13.630583333333334</v>
      </c>
      <c r="E46" s="112">
        <f>C46*D46</f>
        <v>817.83500000000004</v>
      </c>
      <c r="F46" s="386"/>
      <c r="G46" s="7"/>
    </row>
    <row r="47" spans="1:7" ht="13.5" thickBot="1" x14ac:dyDescent="0.25">
      <c r="C47" s="492"/>
      <c r="D47" s="308" t="s">
        <v>185</v>
      </c>
      <c r="E47" s="309">
        <f>$B$25</f>
        <v>1</v>
      </c>
      <c r="F47" s="21">
        <f>E46*E47</f>
        <v>817.83500000000004</v>
      </c>
      <c r="G47" s="7"/>
    </row>
    <row r="48" spans="1:7" x14ac:dyDescent="0.2">
      <c r="G48" s="7"/>
    </row>
    <row r="49" spans="1:10" ht="13.5" thickBot="1" x14ac:dyDescent="0.25">
      <c r="A49" s="7" t="s">
        <v>618</v>
      </c>
      <c r="G49" s="7"/>
    </row>
    <row r="50" spans="1:10" ht="13.5" thickBot="1" x14ac:dyDescent="0.25">
      <c r="A50" s="57" t="s">
        <v>64</v>
      </c>
      <c r="B50" s="58" t="s">
        <v>65</v>
      </c>
      <c r="C50" s="58" t="s">
        <v>42</v>
      </c>
      <c r="D50" s="59" t="s">
        <v>224</v>
      </c>
      <c r="E50" s="59" t="s">
        <v>66</v>
      </c>
      <c r="F50" s="60" t="s">
        <v>67</v>
      </c>
      <c r="G50" s="7"/>
    </row>
    <row r="51" spans="1:10" x14ac:dyDescent="0.2">
      <c r="A51" s="278" t="s">
        <v>503</v>
      </c>
      <c r="B51" s="488" t="s">
        <v>65</v>
      </c>
      <c r="C51" s="333">
        <v>60</v>
      </c>
      <c r="D51" s="285">
        <v>27</v>
      </c>
      <c r="E51" s="376">
        <f>C51*D51</f>
        <v>1620</v>
      </c>
      <c r="G51" s="7"/>
    </row>
    <row r="52" spans="1:10" x14ac:dyDescent="0.2">
      <c r="A52" s="278" t="s">
        <v>502</v>
      </c>
      <c r="B52" s="488" t="s">
        <v>2</v>
      </c>
      <c r="C52" s="333">
        <f>33.33</f>
        <v>33.33</v>
      </c>
      <c r="D52" s="390">
        <f>E51</f>
        <v>1620</v>
      </c>
      <c r="E52" s="376">
        <f>D52*C52/100</f>
        <v>539.94600000000003</v>
      </c>
      <c r="G52" s="7"/>
    </row>
    <row r="53" spans="1:10" x14ac:dyDescent="0.2">
      <c r="A53" s="278" t="s">
        <v>494</v>
      </c>
      <c r="B53" s="488" t="s">
        <v>65</v>
      </c>
      <c r="C53" s="333">
        <v>60</v>
      </c>
      <c r="D53" s="285">
        <v>15</v>
      </c>
      <c r="E53" s="376">
        <f>D53*C53</f>
        <v>900</v>
      </c>
      <c r="G53" s="7"/>
    </row>
    <row r="54" spans="1:10" ht="13.5" thickBot="1" x14ac:dyDescent="0.25">
      <c r="A54" s="278" t="s">
        <v>495</v>
      </c>
      <c r="B54" s="488" t="s">
        <v>8</v>
      </c>
      <c r="C54" s="333">
        <v>1</v>
      </c>
      <c r="D54" s="390">
        <f>E53</f>
        <v>900</v>
      </c>
      <c r="E54" s="376">
        <f>C54*D54</f>
        <v>900</v>
      </c>
      <c r="G54" s="7"/>
    </row>
    <row r="55" spans="1:10" ht="13.5" thickBot="1" x14ac:dyDescent="0.25">
      <c r="F55" s="21">
        <f>SUM(E52+E54)</f>
        <v>1439.9459999999999</v>
      </c>
      <c r="G55" s="7"/>
    </row>
    <row r="56" spans="1:10" s="306" customFormat="1" ht="11.25" customHeight="1" thickBot="1" x14ac:dyDescent="0.25">
      <c r="A56" s="7"/>
      <c r="B56" s="7"/>
      <c r="C56" s="7"/>
      <c r="H56" s="7"/>
      <c r="I56" s="7"/>
      <c r="J56" s="7"/>
    </row>
    <row r="57" spans="1:10" s="306" customFormat="1" ht="17.25" customHeight="1" thickBot="1" x14ac:dyDescent="0.25">
      <c r="A57" s="24" t="s">
        <v>219</v>
      </c>
      <c r="B57" s="493"/>
      <c r="C57" s="493"/>
      <c r="D57" s="384"/>
      <c r="E57" s="385"/>
      <c r="F57" s="22">
        <f>F37+F47+F55</f>
        <v>3893.451</v>
      </c>
      <c r="H57" s="7"/>
      <c r="I57" s="7"/>
      <c r="J57" s="7"/>
    </row>
    <row r="58" spans="1:10" s="306" customFormat="1" ht="11.25" customHeight="1" x14ac:dyDescent="0.2">
      <c r="A58" s="7"/>
      <c r="B58" s="7"/>
      <c r="C58" s="7"/>
      <c r="H58" s="7"/>
      <c r="I58" s="7"/>
      <c r="J58" s="7"/>
    </row>
    <row r="59" spans="1:10" s="306" customFormat="1" x14ac:dyDescent="0.2">
      <c r="A59" s="11" t="s">
        <v>436</v>
      </c>
      <c r="B59" s="7"/>
      <c r="C59" s="7"/>
      <c r="H59" s="7"/>
      <c r="I59" s="7"/>
      <c r="J59" s="7"/>
    </row>
    <row r="60" spans="1:10" s="306" customFormat="1" ht="11.25" customHeight="1" thickBot="1" x14ac:dyDescent="0.25">
      <c r="A60" s="7"/>
      <c r="B60" s="7"/>
      <c r="C60" s="7"/>
      <c r="H60" s="7"/>
      <c r="I60" s="7"/>
      <c r="J60" s="7"/>
    </row>
    <row r="61" spans="1:10" s="306" customFormat="1" ht="13.5" thickBot="1" x14ac:dyDescent="0.25">
      <c r="A61" s="57" t="s">
        <v>64</v>
      </c>
      <c r="B61" s="58" t="s">
        <v>65</v>
      </c>
      <c r="C61" s="58" t="s">
        <v>42</v>
      </c>
      <c r="D61" s="59" t="s">
        <v>224</v>
      </c>
      <c r="E61" s="59" t="s">
        <v>66</v>
      </c>
      <c r="F61" s="60" t="s">
        <v>67</v>
      </c>
      <c r="H61" s="7"/>
      <c r="I61" s="7"/>
      <c r="J61" s="7"/>
    </row>
    <row r="62" spans="1:10" s="306" customFormat="1" ht="13.5" thickBot="1" x14ac:dyDescent="0.25">
      <c r="A62" s="278" t="s">
        <v>38</v>
      </c>
      <c r="B62" s="488" t="s">
        <v>2</v>
      </c>
      <c r="C62" s="380">
        <f>'9.BDI'!C21*100</f>
        <v>21.55</v>
      </c>
      <c r="D62" s="376">
        <f>+F57</f>
        <v>3893.451</v>
      </c>
      <c r="E62" s="376">
        <f>C62*D62/100</f>
        <v>839.03869050000003</v>
      </c>
      <c r="H62" s="7"/>
      <c r="I62" s="7"/>
      <c r="J62" s="7"/>
    </row>
    <row r="63" spans="1:10" s="306" customFormat="1" ht="13.5" thickBot="1" x14ac:dyDescent="0.25">
      <c r="A63" s="7"/>
      <c r="B63" s="7"/>
      <c r="C63" s="7"/>
      <c r="F63" s="21">
        <f>+E62</f>
        <v>839.03869050000003</v>
      </c>
      <c r="H63" s="7"/>
      <c r="I63" s="7"/>
      <c r="J63" s="7"/>
    </row>
    <row r="64" spans="1:10" s="306" customFormat="1" ht="11.25" customHeight="1" thickBot="1" x14ac:dyDescent="0.25">
      <c r="A64" s="7"/>
      <c r="B64" s="7"/>
      <c r="C64" s="7"/>
      <c r="H64" s="7"/>
      <c r="I64" s="7"/>
      <c r="J64" s="7"/>
    </row>
    <row r="65" spans="1:10" s="306" customFormat="1" ht="13.5" thickBot="1" x14ac:dyDescent="0.25">
      <c r="A65" s="24" t="s">
        <v>229</v>
      </c>
      <c r="B65" s="493"/>
      <c r="C65" s="493"/>
      <c r="D65" s="384"/>
      <c r="E65" s="385"/>
      <c r="F65" s="22">
        <f>F63</f>
        <v>839.03869050000003</v>
      </c>
      <c r="H65" s="7"/>
      <c r="I65" s="7"/>
      <c r="J65" s="7"/>
    </row>
    <row r="66" spans="1:10" s="306" customFormat="1" ht="13.5" thickBot="1" x14ac:dyDescent="0.25">
      <c r="A66" s="11"/>
      <c r="B66" s="11"/>
      <c r="C66" s="11"/>
      <c r="D66" s="34"/>
      <c r="E66" s="34"/>
      <c r="F66" s="33"/>
      <c r="H66" s="7"/>
      <c r="I66" s="7"/>
      <c r="J66" s="7"/>
    </row>
    <row r="67" spans="1:10" s="306" customFormat="1" ht="11.25" hidden="1" customHeight="1" thickBot="1" x14ac:dyDescent="0.25">
      <c r="A67" s="7"/>
      <c r="B67" s="7"/>
      <c r="C67" s="7"/>
      <c r="H67" s="7"/>
      <c r="I67" s="7"/>
      <c r="J67" s="7"/>
    </row>
    <row r="68" spans="1:10" s="306" customFormat="1" ht="24.75" customHeight="1" thickBot="1" x14ac:dyDescent="0.25">
      <c r="A68" s="24" t="s">
        <v>220</v>
      </c>
      <c r="B68" s="493"/>
      <c r="C68" s="493"/>
      <c r="D68" s="578">
        <f>F68/C46</f>
        <v>78.874828175000005</v>
      </c>
      <c r="E68" s="385"/>
      <c r="F68" s="22">
        <f>F57+F65</f>
        <v>4732.4896905000005</v>
      </c>
      <c r="H68" s="7"/>
      <c r="I68" s="7"/>
      <c r="J68" s="7"/>
    </row>
    <row r="69" spans="1:10" s="306" customFormat="1" ht="12.6" hidden="1" customHeight="1" thickBot="1" x14ac:dyDescent="0.25">
      <c r="A69" s="494"/>
      <c r="B69" s="495"/>
      <c r="C69" s="495"/>
      <c r="D69" s="496"/>
      <c r="E69" s="496"/>
      <c r="F69" s="497"/>
      <c r="H69" s="7"/>
      <c r="I69" s="7"/>
      <c r="J69" s="7"/>
    </row>
    <row r="70" spans="1:10" s="306" customFormat="1" ht="15" hidden="1" thickBot="1" x14ac:dyDescent="0.25">
      <c r="A70" s="498"/>
      <c r="B70" s="498"/>
      <c r="C70" s="498"/>
      <c r="D70" s="499"/>
      <c r="E70" s="499"/>
      <c r="F70" s="500"/>
      <c r="H70" s="7"/>
      <c r="I70" s="7"/>
      <c r="J70" s="7"/>
    </row>
    <row r="71" spans="1:10" ht="16.149999999999999" hidden="1" customHeight="1" x14ac:dyDescent="0.2">
      <c r="A71" s="501" t="s">
        <v>496</v>
      </c>
      <c r="B71" s="502"/>
      <c r="C71" s="502"/>
      <c r="D71" s="503">
        <v>60</v>
      </c>
      <c r="E71" s="504" t="s">
        <v>497</v>
      </c>
      <c r="F71" s="500"/>
      <c r="G71" s="306" t="s">
        <v>194</v>
      </c>
    </row>
    <row r="72" spans="1:10" ht="13.5" hidden="1" thickBot="1" x14ac:dyDescent="0.25">
      <c r="A72" s="484"/>
      <c r="B72" s="484"/>
      <c r="C72" s="484"/>
      <c r="D72" s="500"/>
      <c r="E72" s="500"/>
      <c r="F72" s="500"/>
    </row>
    <row r="73" spans="1:10" ht="25.5" hidden="1" customHeight="1" thickBot="1" x14ac:dyDescent="0.25">
      <c r="A73" s="505" t="s">
        <v>498</v>
      </c>
      <c r="B73" s="506"/>
      <c r="C73" s="506"/>
      <c r="D73" s="507"/>
      <c r="E73" s="508" t="s">
        <v>499</v>
      </c>
      <c r="F73" s="509">
        <f>IFERROR(F68/D71,"-")</f>
        <v>78.874828175000005</v>
      </c>
      <c r="G73" s="306" t="s">
        <v>194</v>
      </c>
    </row>
    <row r="74" spans="1:10" ht="12.6" hidden="1" customHeight="1" x14ac:dyDescent="0.2">
      <c r="A74" s="510"/>
      <c r="B74" s="510"/>
      <c r="C74" s="510"/>
      <c r="D74" s="511"/>
      <c r="E74" s="511"/>
      <c r="F74" s="511"/>
    </row>
    <row r="75" spans="1:10" ht="13.5" hidden="1" thickBot="1" x14ac:dyDescent="0.25">
      <c r="A75" s="512"/>
      <c r="B75" s="484"/>
      <c r="C75" s="484"/>
      <c r="D75" s="500"/>
      <c r="E75" s="500"/>
      <c r="F75" s="500"/>
    </row>
    <row r="76" spans="1:10" ht="15.75" hidden="1" thickBot="1" x14ac:dyDescent="0.25">
      <c r="A76" s="513" t="s">
        <v>500</v>
      </c>
      <c r="B76" s="514"/>
      <c r="C76" s="514"/>
      <c r="D76" s="515"/>
      <c r="E76" s="515"/>
      <c r="F76" s="516">
        <f>F68/260</f>
        <v>18.201883425000002</v>
      </c>
    </row>
    <row r="77" spans="1:10" ht="15" x14ac:dyDescent="0.2">
      <c r="A77" s="692"/>
      <c r="B77" s="692"/>
      <c r="C77" s="692"/>
      <c r="D77" s="692"/>
      <c r="E77" s="692"/>
      <c r="F77" s="692"/>
    </row>
    <row r="78" spans="1:10" ht="15" x14ac:dyDescent="0.2">
      <c r="A78" s="517"/>
      <c r="B78" s="693"/>
      <c r="C78" s="693"/>
      <c r="D78" s="693"/>
      <c r="E78" s="518"/>
      <c r="F78" s="518"/>
    </row>
    <row r="79" spans="1:10" ht="15" x14ac:dyDescent="0.2">
      <c r="A79" s="517"/>
      <c r="B79" s="688"/>
      <c r="C79" s="688"/>
      <c r="D79" s="688"/>
      <c r="E79" s="500"/>
      <c r="F79" s="500"/>
    </row>
    <row r="80" spans="1:10" x14ac:dyDescent="0.2">
      <c r="A80" s="519"/>
      <c r="B80" s="484"/>
      <c r="C80" s="484"/>
      <c r="D80" s="500"/>
      <c r="E80" s="500"/>
      <c r="F80" s="500"/>
    </row>
    <row r="102" s="7" customFormat="1" ht="9" customHeight="1" x14ac:dyDescent="0.2"/>
  </sheetData>
  <mergeCells count="7">
    <mergeCell ref="B79:D79"/>
    <mergeCell ref="A8:F8"/>
    <mergeCell ref="A9:F9"/>
    <mergeCell ref="A11:F11"/>
    <mergeCell ref="A21:D21"/>
    <mergeCell ref="A77:F77"/>
    <mergeCell ref="B78:D78"/>
  </mergeCells>
  <hyperlinks>
    <hyperlink ref="A39" location="AbaRemun" display="3.1.2. Remuneração do Capital"/>
    <hyperlink ref="A29" location="AbaDeprec" display="3.1.1. Depreciação"/>
  </hyperlinks>
  <pageMargins left="0.9055118110236221" right="0.51181102362204722" top="0.43" bottom="0.63" header="0.31496062992125984" footer="0.31496062992125984"/>
  <pageSetup paperSize="9" scale="75" fitToHeight="0" orientation="portrait" verticalDpi="300" r:id="rId1"/>
  <headerFooter alignWithMargins="0">
    <oddFooter>&amp;R&amp;P de &amp;N</oddFooter>
  </headerFooter>
  <rowBreaks count="1" manualBreakCount="1">
    <brk id="76" max="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A11" sqref="A11"/>
    </sheetView>
  </sheetViews>
  <sheetFormatPr defaultRowHeight="12.75" x14ac:dyDescent="0.2"/>
  <cols>
    <col min="1" max="1" width="10.28515625" customWidth="1"/>
    <col min="2" max="2" width="32.42578125" customWidth="1"/>
    <col min="3" max="3" width="13.28515625" hidden="1" customWidth="1"/>
    <col min="4" max="4" width="11.85546875" hidden="1" customWidth="1"/>
    <col min="5" max="5" width="10.5703125" hidden="1" customWidth="1"/>
    <col min="6" max="6" width="15.5703125" bestFit="1" customWidth="1"/>
    <col min="7" max="7" width="13.7109375" hidden="1" customWidth="1"/>
    <col min="8" max="8" width="11.5703125" hidden="1" customWidth="1"/>
    <col min="9" max="10" width="11.42578125" hidden="1" customWidth="1"/>
    <col min="11" max="11" width="10.42578125" hidden="1" customWidth="1"/>
  </cols>
  <sheetData>
    <row r="1" spans="1:11" ht="18" x14ac:dyDescent="0.2">
      <c r="A1" s="138" t="s">
        <v>505</v>
      </c>
    </row>
    <row r="2" spans="1:11" x14ac:dyDescent="0.2">
      <c r="A2" s="101" t="s">
        <v>437</v>
      </c>
    </row>
    <row r="3" spans="1:11" x14ac:dyDescent="0.2">
      <c r="A3" s="313" t="s">
        <v>306</v>
      </c>
      <c r="B3" s="313" t="s">
        <v>358</v>
      </c>
      <c r="C3" s="313" t="s">
        <v>373</v>
      </c>
      <c r="D3" s="313" t="s">
        <v>359</v>
      </c>
      <c r="E3" s="313" t="s">
        <v>360</v>
      </c>
      <c r="F3" s="313" t="s">
        <v>374</v>
      </c>
      <c r="G3" s="313" t="s">
        <v>361</v>
      </c>
      <c r="H3" s="313" t="s">
        <v>375</v>
      </c>
      <c r="I3" s="315"/>
      <c r="J3" s="315"/>
      <c r="K3" s="315"/>
    </row>
    <row r="4" spans="1:11" x14ac:dyDescent="0.2">
      <c r="A4" s="314">
        <v>1</v>
      </c>
      <c r="B4" s="315" t="s">
        <v>469</v>
      </c>
      <c r="C4" s="334"/>
      <c r="D4" s="315"/>
      <c r="E4" s="316">
        <f>C4*D4</f>
        <v>0</v>
      </c>
      <c r="F4" s="316">
        <f>'1. Coleta Orgânica'!F317</f>
        <v>53948.926509803241</v>
      </c>
      <c r="G4" s="316">
        <f>F4-C4</f>
        <v>53948.926509803241</v>
      </c>
      <c r="H4" s="335" t="e">
        <f>F4/C4-1</f>
        <v>#DIV/0!</v>
      </c>
      <c r="I4" s="316">
        <v>65243.07</v>
      </c>
      <c r="J4" s="576">
        <f>I4*1.15</f>
        <v>75029.530499999993</v>
      </c>
      <c r="K4" s="577">
        <f>F4+F5-J4</f>
        <v>6224.36508447706</v>
      </c>
    </row>
    <row r="5" spans="1:11" x14ac:dyDescent="0.2">
      <c r="A5" s="314">
        <v>2</v>
      </c>
      <c r="B5" s="315" t="s">
        <v>468</v>
      </c>
      <c r="C5" s="334"/>
      <c r="D5" s="315"/>
      <c r="E5" s="316">
        <f t="shared" ref="E5:E10" si="0">C5*D5</f>
        <v>0</v>
      </c>
      <c r="F5" s="316">
        <f>'2. Coleta Seletiva '!F317</f>
        <v>27304.969074673816</v>
      </c>
      <c r="G5" s="316">
        <f t="shared" ref="G5:G8" si="1">F5-C5</f>
        <v>27304.969074673816</v>
      </c>
      <c r="H5" s="335" t="e">
        <f t="shared" ref="H5:H11" si="2">F5/C5-1</f>
        <v>#DIV/0!</v>
      </c>
      <c r="I5" s="315"/>
      <c r="J5" s="315"/>
      <c r="K5" s="315"/>
    </row>
    <row r="6" spans="1:11" x14ac:dyDescent="0.2">
      <c r="A6" s="314">
        <v>3</v>
      </c>
      <c r="B6" s="315" t="s">
        <v>587</v>
      </c>
      <c r="C6" s="334"/>
      <c r="D6" s="315"/>
      <c r="E6" s="316"/>
      <c r="F6" s="316">
        <f>'3. Transbordo'!F110</f>
        <v>3119.8525712873143</v>
      </c>
      <c r="G6" s="316"/>
      <c r="H6" s="335"/>
      <c r="I6" s="315"/>
      <c r="J6" s="315"/>
      <c r="K6" s="315"/>
    </row>
    <row r="7" spans="1:11" x14ac:dyDescent="0.2">
      <c r="A7" s="314">
        <v>4</v>
      </c>
      <c r="B7" s="320" t="s">
        <v>445</v>
      </c>
      <c r="C7" s="334"/>
      <c r="D7" s="315"/>
      <c r="E7" s="316"/>
      <c r="F7" s="316">
        <f>'4. Transporte '!F254</f>
        <v>14075.249936427441</v>
      </c>
      <c r="G7" s="316"/>
      <c r="H7" s="335"/>
      <c r="I7" s="316">
        <v>64321.66</v>
      </c>
      <c r="J7" s="316">
        <f>I7*1.15</f>
        <v>73969.909</v>
      </c>
      <c r="K7" s="577">
        <f>F7+F8-J7</f>
        <v>-9798.5408235725627</v>
      </c>
    </row>
    <row r="8" spans="1:11" x14ac:dyDescent="0.2">
      <c r="A8" s="314">
        <v>5</v>
      </c>
      <c r="B8" s="320" t="s">
        <v>426</v>
      </c>
      <c r="C8" s="334"/>
      <c r="D8" s="315"/>
      <c r="E8" s="316"/>
      <c r="F8" s="316">
        <f>'5. Destino Final'!E13</f>
        <v>50096.118239999996</v>
      </c>
      <c r="G8" s="316">
        <f t="shared" si="1"/>
        <v>50096.118239999996</v>
      </c>
      <c r="H8" s="335" t="e">
        <f t="shared" si="2"/>
        <v>#DIV/0!</v>
      </c>
      <c r="I8" s="315"/>
      <c r="J8" s="315"/>
      <c r="K8" s="315"/>
    </row>
    <row r="9" spans="1:11" x14ac:dyDescent="0.2">
      <c r="A9" s="314">
        <v>6</v>
      </c>
      <c r="B9" s="320" t="s">
        <v>501</v>
      </c>
      <c r="C9" s="334"/>
      <c r="D9" s="315"/>
      <c r="E9" s="316"/>
      <c r="F9" s="316">
        <f>'6. Contentores'!F68</f>
        <v>4732.4896905000005</v>
      </c>
      <c r="G9" s="316"/>
      <c r="H9" s="335"/>
      <c r="I9" s="316">
        <v>4680</v>
      </c>
      <c r="J9" s="316">
        <f>I9*1.1006</f>
        <v>5150.808</v>
      </c>
      <c r="K9" s="577">
        <f>J9-F9</f>
        <v>418.31830949999949</v>
      </c>
    </row>
    <row r="10" spans="1:11" x14ac:dyDescent="0.2">
      <c r="A10" s="314"/>
      <c r="B10" s="315"/>
      <c r="C10" s="315"/>
      <c r="D10" s="315"/>
      <c r="E10" s="316">
        <f t="shared" si="0"/>
        <v>0</v>
      </c>
      <c r="F10" s="316"/>
      <c r="G10" s="316"/>
      <c r="H10" s="335"/>
      <c r="I10" s="315"/>
      <c r="J10" s="315"/>
      <c r="K10" s="315"/>
    </row>
    <row r="11" spans="1:11" x14ac:dyDescent="0.2">
      <c r="A11" s="317" t="s">
        <v>362</v>
      </c>
      <c r="B11" s="317"/>
      <c r="C11" s="318">
        <f>SUM(C4:C10)</f>
        <v>0</v>
      </c>
      <c r="D11" s="317"/>
      <c r="E11" s="319">
        <f>SUM(E4:E10)</f>
        <v>0</v>
      </c>
      <c r="F11" s="319">
        <f>SUM(F4:F10)</f>
        <v>153277.60602269179</v>
      </c>
      <c r="G11" s="319">
        <f>F11-C11</f>
        <v>153277.60602269179</v>
      </c>
      <c r="H11" s="335" t="e">
        <f t="shared" si="2"/>
        <v>#DIV/0!</v>
      </c>
      <c r="I11" s="319">
        <f>SUM(I4:I9)</f>
        <v>134244.73000000001</v>
      </c>
      <c r="J11" s="319">
        <f>SUM(J4:J9)</f>
        <v>154150.24749999997</v>
      </c>
      <c r="K11" s="319">
        <f>SUM(K3:K10)</f>
        <v>-3155.8574295955032</v>
      </c>
    </row>
    <row r="12" spans="1:11" x14ac:dyDescent="0.2">
      <c r="A12" s="317" t="s">
        <v>363</v>
      </c>
      <c r="B12" s="315" t="s">
        <v>595</v>
      </c>
      <c r="C12" s="315"/>
      <c r="D12" s="315"/>
      <c r="E12" s="319"/>
      <c r="F12" s="319">
        <f>'10. Ton'!C22</f>
        <v>461.41666666666669</v>
      </c>
      <c r="G12" s="315"/>
      <c r="H12" s="315"/>
      <c r="I12" s="319">
        <f>F12</f>
        <v>461.41666666666669</v>
      </c>
      <c r="J12" s="319">
        <f>I12</f>
        <v>461.41666666666669</v>
      </c>
      <c r="K12" s="318"/>
    </row>
    <row r="13" spans="1:11" x14ac:dyDescent="0.2">
      <c r="A13" s="317" t="s">
        <v>364</v>
      </c>
      <c r="B13" s="315"/>
      <c r="C13" s="315"/>
      <c r="D13" s="315"/>
      <c r="E13" s="319"/>
      <c r="F13" s="319">
        <f>F11/F12</f>
        <v>332.1891407390828</v>
      </c>
      <c r="G13" s="315"/>
      <c r="H13" s="315"/>
      <c r="I13" s="319">
        <f t="shared" ref="I13:J13" si="3">I11/I12</f>
        <v>290.9403575943652</v>
      </c>
      <c r="J13" s="319">
        <f t="shared" si="3"/>
        <v>334.08036301246153</v>
      </c>
      <c r="K13" s="319"/>
    </row>
    <row r="14" spans="1:11" x14ac:dyDescent="0.2">
      <c r="A14" s="315"/>
      <c r="B14" s="315"/>
      <c r="C14" s="315"/>
      <c r="D14" s="315"/>
      <c r="E14" s="315"/>
      <c r="F14" s="315"/>
      <c r="G14" s="315"/>
      <c r="H14" s="315"/>
      <c r="I14" s="315"/>
      <c r="J14" s="315"/>
      <c r="K14" s="315"/>
    </row>
    <row r="15" spans="1:11" x14ac:dyDescent="0.2">
      <c r="A15" s="315"/>
      <c r="B15" s="315"/>
      <c r="C15" s="315"/>
      <c r="D15" s="315"/>
      <c r="E15" s="315"/>
      <c r="F15" s="315"/>
      <c r="G15" s="315"/>
      <c r="H15" s="315"/>
      <c r="I15" s="315"/>
      <c r="J15" s="315"/>
      <c r="K15" s="315"/>
    </row>
    <row r="17" spans="1:10" hidden="1" x14ac:dyDescent="0.2">
      <c r="B17" s="101" t="s">
        <v>410</v>
      </c>
      <c r="F17" s="345"/>
      <c r="J17" s="600">
        <f>F11-I11</f>
        <v>19032.87602269178</v>
      </c>
    </row>
    <row r="18" spans="1:10" x14ac:dyDescent="0.2">
      <c r="B18" s="101"/>
      <c r="F18" s="345"/>
      <c r="I18" s="346"/>
    </row>
    <row r="19" spans="1:10" hidden="1" x14ac:dyDescent="0.2">
      <c r="B19" s="348" t="s">
        <v>411</v>
      </c>
      <c r="C19" s="349"/>
      <c r="D19" s="349"/>
      <c r="E19" s="349"/>
      <c r="F19" s="345"/>
    </row>
    <row r="20" spans="1:10" hidden="1" x14ac:dyDescent="0.2">
      <c r="A20" s="101" t="s">
        <v>365</v>
      </c>
      <c r="F20" s="346"/>
    </row>
    <row r="21" spans="1:10" hidden="1" x14ac:dyDescent="0.2">
      <c r="A21" s="316">
        <v>10</v>
      </c>
      <c r="B21" s="320" t="s">
        <v>79</v>
      </c>
      <c r="D21" s="324"/>
      <c r="F21" s="346"/>
      <c r="I21" s="350"/>
    </row>
    <row r="22" spans="1:10" hidden="1" x14ac:dyDescent="0.2">
      <c r="A22" s="316">
        <v>5</v>
      </c>
      <c r="B22" s="320" t="s">
        <v>366</v>
      </c>
      <c r="C22" s="328"/>
      <c r="D22" s="325"/>
    </row>
    <row r="23" spans="1:10" hidden="1" x14ac:dyDescent="0.2">
      <c r="A23" s="316">
        <v>5</v>
      </c>
      <c r="B23" s="320" t="s">
        <v>367</v>
      </c>
      <c r="C23" s="328"/>
      <c r="D23" s="325"/>
    </row>
    <row r="24" spans="1:10" hidden="1" x14ac:dyDescent="0.2">
      <c r="A24" s="323">
        <f>SUM(A21:A23)</f>
        <v>20</v>
      </c>
      <c r="B24" s="320" t="s">
        <v>368</v>
      </c>
      <c r="C24" s="328"/>
      <c r="D24" s="325"/>
    </row>
    <row r="25" spans="1:10" hidden="1" x14ac:dyDescent="0.2">
      <c r="A25" s="321">
        <f>F11*A24/100</f>
        <v>30655.52120453836</v>
      </c>
      <c r="B25" s="322" t="s">
        <v>369</v>
      </c>
      <c r="C25" s="328"/>
      <c r="D25" s="325"/>
    </row>
    <row r="26" spans="1:10" hidden="1" x14ac:dyDescent="0.2">
      <c r="B26" s="327"/>
      <c r="C26" s="328"/>
      <c r="D26" s="325"/>
    </row>
    <row r="27" spans="1:10" hidden="1" x14ac:dyDescent="0.2">
      <c r="D27" s="325"/>
      <c r="F27" s="345"/>
    </row>
    <row r="28" spans="1:10" hidden="1" x14ac:dyDescent="0.2">
      <c r="B28" s="329"/>
      <c r="C28" s="330"/>
      <c r="D28" s="326"/>
      <c r="F28" s="345"/>
    </row>
    <row r="29" spans="1:10" x14ac:dyDescent="0.2">
      <c r="F29" s="328"/>
    </row>
    <row r="30" spans="1:10" x14ac:dyDescent="0.2">
      <c r="F30" s="328"/>
    </row>
    <row r="31" spans="1:10" x14ac:dyDescent="0.2">
      <c r="F31" s="631"/>
    </row>
    <row r="32" spans="1:10" x14ac:dyDescent="0.2">
      <c r="F32" s="328"/>
    </row>
    <row r="35" spans="6:6" x14ac:dyDescent="0.2">
      <c r="F35" s="631"/>
    </row>
    <row r="36" spans="6:6" x14ac:dyDescent="0.2">
      <c r="F36" s="631"/>
    </row>
  </sheetData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14" workbookViewId="0">
      <selection activeCell="A11" sqref="A11"/>
    </sheetView>
  </sheetViews>
  <sheetFormatPr defaultColWidth="9.140625" defaultRowHeight="12.75" x14ac:dyDescent="0.2"/>
  <cols>
    <col min="1" max="1" width="13.5703125" style="1" customWidth="1"/>
    <col min="2" max="2" width="39.5703125" style="1" bestFit="1" customWidth="1"/>
    <col min="3" max="3" width="20.85546875" style="1" customWidth="1"/>
    <col min="4" max="4" width="37.28515625" style="1" customWidth="1"/>
    <col min="5" max="10" width="9.140625" style="1"/>
    <col min="11" max="11" width="11" style="1" bestFit="1" customWidth="1"/>
    <col min="12" max="16384" width="9.140625" style="1"/>
  </cols>
  <sheetData>
    <row r="1" spans="1:7" x14ac:dyDescent="0.2">
      <c r="A1" s="11" t="s">
        <v>192</v>
      </c>
    </row>
    <row r="2" spans="1:7" x14ac:dyDescent="0.2">
      <c r="A2" s="130" t="s">
        <v>236</v>
      </c>
    </row>
    <row r="3" spans="1:7" s="4" customFormat="1" ht="15.6" customHeight="1" x14ac:dyDescent="0.2">
      <c r="B3" s="5"/>
      <c r="C3" s="5"/>
      <c r="D3" s="5"/>
      <c r="E3" s="5"/>
      <c r="F3" s="5"/>
      <c r="G3" s="6"/>
    </row>
    <row r="4" spans="1:7" s="4" customFormat="1" ht="15.6" hidden="1" customHeight="1" x14ac:dyDescent="0.2">
      <c r="A4" s="276" t="s">
        <v>284</v>
      </c>
      <c r="B4" s="5"/>
      <c r="C4" s="5"/>
      <c r="D4" s="5"/>
      <c r="E4" s="5"/>
      <c r="F4" s="5"/>
      <c r="G4" s="6"/>
    </row>
    <row r="5" spans="1:7" s="4" customFormat="1" ht="16.5" customHeight="1" x14ac:dyDescent="0.2">
      <c r="A5" s="304" t="s">
        <v>304</v>
      </c>
      <c r="B5" s="5"/>
      <c r="C5" s="5"/>
      <c r="D5" s="6"/>
      <c r="E5" s="6"/>
      <c r="F5" s="6"/>
      <c r="G5" s="6"/>
    </row>
    <row r="6" spans="1:7" s="4" customFormat="1" ht="16.5" customHeight="1" x14ac:dyDescent="0.2">
      <c r="A6" s="304" t="s">
        <v>305</v>
      </c>
      <c r="B6" s="5"/>
      <c r="C6" s="5"/>
      <c r="D6" s="6"/>
      <c r="E6" s="6"/>
      <c r="F6" s="6"/>
      <c r="G6" s="6"/>
    </row>
    <row r="7" spans="1:7" ht="13.5" thickBot="1" x14ac:dyDescent="0.25"/>
    <row r="8" spans="1:7" ht="18" x14ac:dyDescent="0.2">
      <c r="A8" s="694" t="s">
        <v>384</v>
      </c>
      <c r="B8" s="695"/>
      <c r="C8" s="696"/>
      <c r="D8" s="138"/>
      <c r="E8" s="138"/>
      <c r="F8" s="138"/>
    </row>
    <row r="9" spans="1:7" ht="14.25" x14ac:dyDescent="0.2">
      <c r="A9" s="154" t="s">
        <v>131</v>
      </c>
      <c r="B9" s="155" t="s">
        <v>132</v>
      </c>
      <c r="C9" s="156" t="s">
        <v>133</v>
      </c>
      <c r="D9" s="157"/>
    </row>
    <row r="10" spans="1:7" ht="14.25" x14ac:dyDescent="0.2">
      <c r="A10" s="154" t="s">
        <v>134</v>
      </c>
      <c r="B10" s="155" t="s">
        <v>43</v>
      </c>
      <c r="C10" s="158">
        <v>0.2</v>
      </c>
      <c r="D10" s="157"/>
    </row>
    <row r="11" spans="1:7" ht="14.25" x14ac:dyDescent="0.2">
      <c r="A11" s="154" t="s">
        <v>135</v>
      </c>
      <c r="B11" s="155" t="s">
        <v>136</v>
      </c>
      <c r="C11" s="158">
        <v>1.4999999999999999E-2</v>
      </c>
      <c r="D11" s="157"/>
    </row>
    <row r="12" spans="1:7" ht="14.25" x14ac:dyDescent="0.2">
      <c r="A12" s="154" t="s">
        <v>137</v>
      </c>
      <c r="B12" s="155" t="s">
        <v>138</v>
      </c>
      <c r="C12" s="158">
        <v>0.01</v>
      </c>
      <c r="D12" s="157"/>
    </row>
    <row r="13" spans="1:7" ht="14.25" x14ac:dyDescent="0.2">
      <c r="A13" s="154" t="s">
        <v>139</v>
      </c>
      <c r="B13" s="155" t="s">
        <v>140</v>
      </c>
      <c r="C13" s="158">
        <v>2E-3</v>
      </c>
      <c r="D13" s="157"/>
    </row>
    <row r="14" spans="1:7" ht="14.25" x14ac:dyDescent="0.2">
      <c r="A14" s="154" t="s">
        <v>141</v>
      </c>
      <c r="B14" s="155" t="s">
        <v>142</v>
      </c>
      <c r="C14" s="158">
        <v>6.0000000000000001E-3</v>
      </c>
      <c r="D14" s="157"/>
    </row>
    <row r="15" spans="1:7" ht="14.25" x14ac:dyDescent="0.2">
      <c r="A15" s="154" t="s">
        <v>143</v>
      </c>
      <c r="B15" s="155" t="s">
        <v>144</v>
      </c>
      <c r="C15" s="158">
        <v>2.5000000000000001E-2</v>
      </c>
      <c r="D15" s="157"/>
    </row>
    <row r="16" spans="1:7" ht="14.25" x14ac:dyDescent="0.2">
      <c r="A16" s="154" t="s">
        <v>145</v>
      </c>
      <c r="B16" s="155" t="s">
        <v>146</v>
      </c>
      <c r="C16" s="158">
        <v>0.03</v>
      </c>
      <c r="D16" s="157"/>
    </row>
    <row r="17" spans="1:8" ht="14.25" x14ac:dyDescent="0.2">
      <c r="A17" s="154" t="s">
        <v>147</v>
      </c>
      <c r="B17" s="155" t="s">
        <v>44</v>
      </c>
      <c r="C17" s="158">
        <v>0.08</v>
      </c>
      <c r="D17" s="157"/>
    </row>
    <row r="18" spans="1:8" ht="15" x14ac:dyDescent="0.2">
      <c r="A18" s="154" t="s">
        <v>148</v>
      </c>
      <c r="B18" s="159" t="s">
        <v>149</v>
      </c>
      <c r="C18" s="160">
        <f>SUM(C10:C17)</f>
        <v>0.36800000000000005</v>
      </c>
      <c r="D18" s="157"/>
    </row>
    <row r="19" spans="1:8" ht="15" x14ac:dyDescent="0.2">
      <c r="A19" s="161"/>
      <c r="B19" s="162"/>
      <c r="C19" s="163"/>
      <c r="D19" s="157"/>
    </row>
    <row r="20" spans="1:8" ht="14.25" x14ac:dyDescent="0.2">
      <c r="A20" s="154" t="s">
        <v>150</v>
      </c>
      <c r="B20" s="164" t="s">
        <v>151</v>
      </c>
      <c r="C20" s="158">
        <f>ROUND(IF('8.CAGED'!C32&gt;24,(1-12/'8.CAGED'!C32)*0.1111,0.1111-C29),4)</f>
        <v>6.5699999999999995E-2</v>
      </c>
      <c r="D20" s="157"/>
    </row>
    <row r="21" spans="1:8" ht="14.25" x14ac:dyDescent="0.2">
      <c r="A21" s="154" t="s">
        <v>152</v>
      </c>
      <c r="B21" s="164" t="s">
        <v>153</v>
      </c>
      <c r="C21" s="158">
        <f>ROUND('8.CAGED'!C36/'8.CAGED'!C33,4)</f>
        <v>8.3299999999999999E-2</v>
      </c>
      <c r="D21" s="157"/>
    </row>
    <row r="22" spans="1:8" ht="14.25" x14ac:dyDescent="0.2">
      <c r="A22" s="154" t="s">
        <v>212</v>
      </c>
      <c r="B22" s="164" t="s">
        <v>155</v>
      </c>
      <c r="C22" s="158">
        <v>5.9999999999999995E-4</v>
      </c>
      <c r="D22" s="157"/>
    </row>
    <row r="23" spans="1:8" ht="14.25" x14ac:dyDescent="0.2">
      <c r="A23" s="154" t="s">
        <v>154</v>
      </c>
      <c r="B23" s="164" t="s">
        <v>157</v>
      </c>
      <c r="C23" s="158">
        <v>8.2000000000000007E-3</v>
      </c>
      <c r="D23" s="157"/>
    </row>
    <row r="24" spans="1:8" ht="14.25" x14ac:dyDescent="0.2">
      <c r="A24" s="154" t="s">
        <v>156</v>
      </c>
      <c r="B24" s="164" t="s">
        <v>159</v>
      </c>
      <c r="C24" s="158">
        <v>3.0999999999999999E-3</v>
      </c>
      <c r="D24" s="157"/>
    </row>
    <row r="25" spans="1:8" ht="14.25" x14ac:dyDescent="0.2">
      <c r="A25" s="154" t="s">
        <v>158</v>
      </c>
      <c r="B25" s="164" t="s">
        <v>160</v>
      </c>
      <c r="C25" s="158">
        <v>1.2E-2</v>
      </c>
      <c r="D25" s="157"/>
    </row>
    <row r="26" spans="1:8" ht="15" x14ac:dyDescent="0.2">
      <c r="A26" s="154" t="s">
        <v>161</v>
      </c>
      <c r="B26" s="159" t="s">
        <v>162</v>
      </c>
      <c r="C26" s="160">
        <f>SUM(C20:C25)</f>
        <v>0.1729</v>
      </c>
      <c r="D26" s="165"/>
    </row>
    <row r="27" spans="1:8" ht="15" x14ac:dyDescent="0.2">
      <c r="A27" s="161"/>
      <c r="B27" s="162"/>
      <c r="C27" s="163"/>
      <c r="D27" s="165"/>
    </row>
    <row r="28" spans="1:8" ht="14.25" x14ac:dyDescent="0.2">
      <c r="A28" s="154" t="s">
        <v>163</v>
      </c>
      <c r="B28" s="155" t="s">
        <v>164</v>
      </c>
      <c r="C28" s="158">
        <v>2.1000000000000001E-2</v>
      </c>
      <c r="D28" s="157"/>
      <c r="E28" s="166"/>
    </row>
    <row r="29" spans="1:8" ht="14.25" x14ac:dyDescent="0.2">
      <c r="A29" s="154" t="s">
        <v>211</v>
      </c>
      <c r="B29" s="155" t="s">
        <v>166</v>
      </c>
      <c r="C29" s="158">
        <f>ROUND(IF('8.CAGED'!C32&gt;12,12/'8.CAGED'!C32*0.1111,0.1111),4)</f>
        <v>4.5400000000000003E-2</v>
      </c>
      <c r="D29" s="157"/>
      <c r="H29" s="167"/>
    </row>
    <row r="30" spans="1:8" ht="14.25" x14ac:dyDescent="0.2">
      <c r="A30" s="154" t="s">
        <v>165</v>
      </c>
      <c r="B30" s="155" t="s">
        <v>168</v>
      </c>
      <c r="C30" s="158">
        <f>C28*C29</f>
        <v>9.5340000000000008E-4</v>
      </c>
      <c r="D30" s="157"/>
      <c r="E30" s="166"/>
    </row>
    <row r="31" spans="1:8" ht="14.25" x14ac:dyDescent="0.2">
      <c r="A31" s="154" t="s">
        <v>167</v>
      </c>
      <c r="B31" s="155" t="s">
        <v>170</v>
      </c>
      <c r="C31" s="158">
        <v>1.7999999999999999E-2</v>
      </c>
      <c r="D31" s="157"/>
      <c r="G31" s="166"/>
    </row>
    <row r="32" spans="1:8" ht="14.25" x14ac:dyDescent="0.2">
      <c r="A32" s="154" t="s">
        <v>169</v>
      </c>
      <c r="B32" s="155" t="s">
        <v>171</v>
      </c>
      <c r="C32" s="158">
        <f>ROUND(('8.CAGED'!C35/'8.CAGED'!C33)*'8.CAGED'!C30/12,4)</f>
        <v>2E-3</v>
      </c>
      <c r="D32" s="157"/>
    </row>
    <row r="33" spans="1:4" ht="15" x14ac:dyDescent="0.2">
      <c r="A33" s="154" t="s">
        <v>172</v>
      </c>
      <c r="B33" s="159" t="s">
        <v>173</v>
      </c>
      <c r="C33" s="160">
        <f>SUM(C28:C32)</f>
        <v>8.7353400000000012E-2</v>
      </c>
      <c r="D33" s="165"/>
    </row>
    <row r="34" spans="1:4" ht="15" x14ac:dyDescent="0.2">
      <c r="A34" s="161"/>
      <c r="B34" s="162"/>
      <c r="C34" s="163"/>
      <c r="D34" s="165"/>
    </row>
    <row r="35" spans="1:4" ht="14.25" x14ac:dyDescent="0.2">
      <c r="A35" s="154" t="s">
        <v>174</v>
      </c>
      <c r="B35" s="155" t="s">
        <v>175</v>
      </c>
      <c r="C35" s="158">
        <f>ROUND(C18*C26,4)</f>
        <v>6.3600000000000004E-2</v>
      </c>
      <c r="D35" s="157"/>
    </row>
    <row r="36" spans="1:4" ht="28.5" x14ac:dyDescent="0.2">
      <c r="A36" s="154" t="s">
        <v>176</v>
      </c>
      <c r="B36" s="168" t="s">
        <v>280</v>
      </c>
      <c r="C36" s="158">
        <f>ROUND((C28*C17),4)</f>
        <v>1.6999999999999999E-3</v>
      </c>
      <c r="D36" s="157"/>
    </row>
    <row r="37" spans="1:4" ht="15" x14ac:dyDescent="0.2">
      <c r="A37" s="154" t="s">
        <v>177</v>
      </c>
      <c r="B37" s="159" t="s">
        <v>178</v>
      </c>
      <c r="C37" s="160">
        <f>SUM(C35:C36)</f>
        <v>6.5299999999999997E-2</v>
      </c>
      <c r="D37" s="165"/>
    </row>
    <row r="38" spans="1:4" ht="15.75" thickBot="1" x14ac:dyDescent="0.25">
      <c r="A38" s="169"/>
      <c r="B38" s="170" t="s">
        <v>179</v>
      </c>
      <c r="C38" s="171">
        <f>C37+C33+C26+C18</f>
        <v>0.6935534000000001</v>
      </c>
      <c r="D38" s="165"/>
    </row>
    <row r="39" spans="1:4" ht="15" x14ac:dyDescent="0.2">
      <c r="A39" s="157"/>
      <c r="B39" s="172"/>
      <c r="C39" s="173"/>
      <c r="D39" s="174"/>
    </row>
    <row r="40" spans="1:4" ht="14.25" x14ac:dyDescent="0.2">
      <c r="A40" s="157"/>
      <c r="B40" s="157"/>
      <c r="C40" s="175"/>
      <c r="D40" s="176"/>
    </row>
    <row r="41" spans="1:4" ht="14.25" x14ac:dyDescent="0.2">
      <c r="A41" s="157"/>
      <c r="B41" s="157"/>
      <c r="C41" s="175"/>
      <c r="D41" s="157"/>
    </row>
    <row r="42" spans="1:4" ht="14.25" x14ac:dyDescent="0.2">
      <c r="A42" s="157"/>
      <c r="B42" s="157"/>
      <c r="C42" s="175"/>
      <c r="D42" s="157"/>
    </row>
    <row r="43" spans="1:4" ht="14.25" x14ac:dyDescent="0.2">
      <c r="A43" s="157"/>
      <c r="B43" s="157"/>
      <c r="C43" s="175"/>
      <c r="D43" s="157"/>
    </row>
    <row r="44" spans="1:4" ht="15" x14ac:dyDescent="0.2">
      <c r="A44" s="157"/>
      <c r="B44" s="172"/>
      <c r="C44" s="173"/>
      <c r="D44" s="157"/>
    </row>
    <row r="45" spans="1:4" ht="15" x14ac:dyDescent="0.2">
      <c r="A45" s="165"/>
      <c r="B45" s="172"/>
      <c r="C45" s="173"/>
      <c r="D45" s="165"/>
    </row>
    <row r="46" spans="1:4" ht="16.5" x14ac:dyDescent="0.2">
      <c r="A46" s="177"/>
    </row>
    <row r="47" spans="1:4" x14ac:dyDescent="0.2">
      <c r="A47" s="178"/>
      <c r="B47" s="179"/>
      <c r="C47" s="179"/>
    </row>
    <row r="48" spans="1:4" ht="14.25" x14ac:dyDescent="0.2">
      <c r="A48" s="157"/>
      <c r="B48" s="180"/>
      <c r="C48" s="179"/>
    </row>
    <row r="49" spans="1:3" ht="14.25" x14ac:dyDescent="0.2">
      <c r="A49" s="157"/>
      <c r="B49" s="180"/>
      <c r="C49" s="157"/>
    </row>
    <row r="50" spans="1:3" ht="14.25" x14ac:dyDescent="0.2">
      <c r="A50" s="157"/>
      <c r="B50" s="175"/>
      <c r="C50" s="179"/>
    </row>
    <row r="51" spans="1:3" ht="14.25" x14ac:dyDescent="0.2">
      <c r="A51" s="157"/>
      <c r="B51" s="180"/>
      <c r="C51" s="157"/>
    </row>
    <row r="52" spans="1:3" ht="14.25" x14ac:dyDescent="0.2">
      <c r="A52" s="157"/>
      <c r="B52" s="175"/>
      <c r="C52" s="179"/>
    </row>
    <row r="53" spans="1:3" ht="14.25" x14ac:dyDescent="0.2">
      <c r="A53" s="157"/>
      <c r="B53" s="180"/>
      <c r="C53" s="157"/>
    </row>
    <row r="54" spans="1:3" ht="14.25" x14ac:dyDescent="0.2">
      <c r="A54" s="157"/>
      <c r="B54" s="175"/>
      <c r="C54" s="179"/>
    </row>
    <row r="55" spans="1:3" ht="14.25" x14ac:dyDescent="0.2">
      <c r="A55" s="157"/>
      <c r="B55" s="180"/>
      <c r="C55" s="157"/>
    </row>
    <row r="56" spans="1:3" ht="14.25" x14ac:dyDescent="0.2">
      <c r="A56" s="157"/>
      <c r="B56" s="175"/>
      <c r="C56" s="179"/>
    </row>
    <row r="57" spans="1:3" ht="16.5" x14ac:dyDescent="0.2">
      <c r="A57" s="177"/>
    </row>
    <row r="60" spans="1:3" x14ac:dyDescent="0.2">
      <c r="A60" s="181"/>
    </row>
  </sheetData>
  <mergeCells count="1">
    <mergeCell ref="A8:C8"/>
  </mergeCells>
  <pageMargins left="0.90551181102362199" right="0.51181102362204722" top="0.74803149606299213" bottom="0.74803149606299213" header="0.31496062992125984" footer="0.31496062992125984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22" workbookViewId="0">
      <selection activeCell="A11" sqref="A11"/>
    </sheetView>
  </sheetViews>
  <sheetFormatPr defaultColWidth="9.140625"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customWidth="1"/>
    <col min="5" max="5" width="13.7109375" style="1" customWidth="1"/>
    <col min="6" max="16384" width="9.140625" style="1"/>
  </cols>
  <sheetData>
    <row r="1" spans="1:3" x14ac:dyDescent="0.2">
      <c r="A1" s="101" t="s">
        <v>230</v>
      </c>
    </row>
    <row r="3" spans="1:3" x14ac:dyDescent="0.2">
      <c r="A3" s="1" t="s">
        <v>200</v>
      </c>
    </row>
    <row r="4" spans="1:3" x14ac:dyDescent="0.2">
      <c r="A4" s="254" t="s">
        <v>196</v>
      </c>
    </row>
    <row r="5" spans="1:3" ht="25.5" customHeight="1" x14ac:dyDescent="0.2">
      <c r="A5" s="700" t="s">
        <v>245</v>
      </c>
      <c r="B5" s="699"/>
      <c r="C5" s="699"/>
    </row>
    <row r="6" spans="1:3" x14ac:dyDescent="0.2">
      <c r="A6" s="1" t="s">
        <v>197</v>
      </c>
    </row>
    <row r="7" spans="1:3" ht="26.25" customHeight="1" x14ac:dyDescent="0.2">
      <c r="A7" s="699" t="s">
        <v>198</v>
      </c>
      <c r="B7" s="699"/>
      <c r="C7" s="699"/>
    </row>
    <row r="8" spans="1:3" x14ac:dyDescent="0.2">
      <c r="A8" s="1" t="s">
        <v>199</v>
      </c>
    </row>
    <row r="9" spans="1:3" x14ac:dyDescent="0.2">
      <c r="A9" s="277" t="s">
        <v>231</v>
      </c>
    </row>
    <row r="10" spans="1:3" ht="13.5" thickBot="1" x14ac:dyDescent="0.25"/>
    <row r="11" spans="1:3" ht="18" x14ac:dyDescent="0.25">
      <c r="B11" s="697" t="s">
        <v>385</v>
      </c>
      <c r="C11" s="698"/>
    </row>
    <row r="12" spans="1:3" ht="15" x14ac:dyDescent="0.25">
      <c r="B12" s="143" t="s">
        <v>195</v>
      </c>
      <c r="C12" s="182"/>
    </row>
    <row r="13" spans="1:3" ht="15" x14ac:dyDescent="0.25">
      <c r="B13" s="144" t="s">
        <v>115</v>
      </c>
      <c r="C13" s="145">
        <v>1932</v>
      </c>
    </row>
    <row r="14" spans="1:3" ht="15" x14ac:dyDescent="0.25">
      <c r="B14" s="146" t="s">
        <v>116</v>
      </c>
      <c r="C14" s="145">
        <v>2197</v>
      </c>
    </row>
    <row r="15" spans="1:3" ht="14.25" x14ac:dyDescent="0.2">
      <c r="B15" s="183" t="s">
        <v>117</v>
      </c>
      <c r="C15" s="184">
        <v>25</v>
      </c>
    </row>
    <row r="16" spans="1:3" ht="14.25" x14ac:dyDescent="0.2">
      <c r="B16" s="183" t="s">
        <v>118</v>
      </c>
      <c r="C16" s="184">
        <v>1463</v>
      </c>
    </row>
    <row r="17" spans="1:5" ht="14.25" x14ac:dyDescent="0.2">
      <c r="B17" s="183" t="s">
        <v>119</v>
      </c>
      <c r="C17" s="184">
        <v>321</v>
      </c>
    </row>
    <row r="18" spans="1:5" ht="14.25" x14ac:dyDescent="0.2">
      <c r="B18" s="183" t="s">
        <v>120</v>
      </c>
      <c r="C18" s="184">
        <v>12</v>
      </c>
    </row>
    <row r="19" spans="1:5" ht="14.25" x14ac:dyDescent="0.2">
      <c r="B19" s="183" t="s">
        <v>121</v>
      </c>
      <c r="C19" s="184">
        <v>339</v>
      </c>
    </row>
    <row r="20" spans="1:5" ht="14.25" x14ac:dyDescent="0.2">
      <c r="B20" s="183" t="s">
        <v>122</v>
      </c>
      <c r="C20" s="184">
        <v>0</v>
      </c>
    </row>
    <row r="21" spans="1:5" ht="14.25" x14ac:dyDescent="0.2">
      <c r="B21" s="183" t="s">
        <v>123</v>
      </c>
      <c r="C21" s="184">
        <v>22</v>
      </c>
    </row>
    <row r="22" spans="1:5" ht="14.25" x14ac:dyDescent="0.2">
      <c r="B22" s="185" t="s">
        <v>124</v>
      </c>
      <c r="C22" s="186">
        <v>0</v>
      </c>
    </row>
    <row r="23" spans="1:5" ht="14.25" x14ac:dyDescent="0.2">
      <c r="B23" s="283" t="s">
        <v>287</v>
      </c>
      <c r="C23" s="186">
        <v>0</v>
      </c>
    </row>
    <row r="24" spans="1:5" ht="15" x14ac:dyDescent="0.25">
      <c r="A24" s="1" t="s">
        <v>125</v>
      </c>
      <c r="B24" s="143" t="s">
        <v>126</v>
      </c>
      <c r="C24" s="182"/>
    </row>
    <row r="25" spans="1:5" ht="14.25" x14ac:dyDescent="0.2">
      <c r="B25" s="187" t="s">
        <v>288</v>
      </c>
      <c r="C25" s="188">
        <v>5183</v>
      </c>
    </row>
    <row r="26" spans="1:5" ht="14.25" x14ac:dyDescent="0.2">
      <c r="B26" s="183" t="s">
        <v>289</v>
      </c>
      <c r="C26" s="184">
        <v>4918</v>
      </c>
    </row>
    <row r="27" spans="1:5" ht="14.25" x14ac:dyDescent="0.2">
      <c r="B27" s="183" t="s">
        <v>290</v>
      </c>
      <c r="C27" s="206">
        <f>C13-C14</f>
        <v>-265</v>
      </c>
    </row>
    <row r="28" spans="1:5" ht="14.25" x14ac:dyDescent="0.2">
      <c r="B28" s="189"/>
      <c r="C28" s="190"/>
    </row>
    <row r="29" spans="1:5" s="101" customFormat="1" ht="15" x14ac:dyDescent="0.25">
      <c r="B29" s="144" t="s">
        <v>128</v>
      </c>
      <c r="C29" s="191">
        <f>MEDIAN(C25,C26)</f>
        <v>5050.5</v>
      </c>
    </row>
    <row r="30" spans="1:5" ht="15" x14ac:dyDescent="0.25">
      <c r="B30" s="146" t="s">
        <v>285</v>
      </c>
      <c r="C30" s="281">
        <f>C16/C29</f>
        <v>0.28967428967428965</v>
      </c>
    </row>
    <row r="31" spans="1:5" ht="15" x14ac:dyDescent="0.25">
      <c r="B31" s="146" t="s">
        <v>286</v>
      </c>
      <c r="C31" s="281">
        <f>MEDIAN(C13,C14)/C29</f>
        <v>0.40877140877140877</v>
      </c>
      <c r="E31" s="254"/>
    </row>
    <row r="32" spans="1:5" s="101" customFormat="1" ht="15" x14ac:dyDescent="0.25">
      <c r="B32" s="146" t="s">
        <v>237</v>
      </c>
      <c r="C32" s="279">
        <f>12/C31</f>
        <v>29.356260595785905</v>
      </c>
    </row>
    <row r="33" spans="2:3" ht="15" x14ac:dyDescent="0.25">
      <c r="B33" s="146" t="s">
        <v>127</v>
      </c>
      <c r="C33" s="148">
        <v>360</v>
      </c>
    </row>
    <row r="34" spans="2:3" ht="15" x14ac:dyDescent="0.25">
      <c r="B34" s="146" t="s">
        <v>232</v>
      </c>
      <c r="C34" s="148">
        <v>10</v>
      </c>
    </row>
    <row r="35" spans="2:3" ht="15" x14ac:dyDescent="0.25">
      <c r="B35" s="144" t="s">
        <v>233</v>
      </c>
      <c r="C35" s="147">
        <v>30</v>
      </c>
    </row>
    <row r="36" spans="2:3" ht="15" x14ac:dyDescent="0.25">
      <c r="B36" s="144" t="s">
        <v>234</v>
      </c>
      <c r="C36" s="147">
        <v>30</v>
      </c>
    </row>
    <row r="37" spans="2:3" s="101" customFormat="1" ht="15" x14ac:dyDescent="0.25">
      <c r="B37" s="144" t="s">
        <v>130</v>
      </c>
      <c r="C37" s="147">
        <f>30+(3*TRUNC(1/C31))</f>
        <v>36</v>
      </c>
    </row>
    <row r="38" spans="2:3" s="101" customFormat="1" ht="15" x14ac:dyDescent="0.25">
      <c r="B38" s="146" t="s">
        <v>44</v>
      </c>
      <c r="C38" s="280">
        <v>0.08</v>
      </c>
    </row>
    <row r="39" spans="2:3" s="101" customFormat="1" ht="15.75" thickBot="1" x14ac:dyDescent="0.3">
      <c r="B39" s="149" t="s">
        <v>129</v>
      </c>
      <c r="C39" s="282">
        <v>0.4</v>
      </c>
    </row>
  </sheetData>
  <mergeCells count="3">
    <mergeCell ref="B11:C11"/>
    <mergeCell ref="A7:C7"/>
    <mergeCell ref="A5:C5"/>
  </mergeCells>
  <pageMargins left="0.90551181102362199" right="0.51181102362204722" top="0.74803149606299213" bottom="0.74803149606299213" header="0.31496062992125984" footer="0.31496062992125984"/>
  <pageSetup paperSize="9" scale="9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1. Coleta Orgânica</vt:lpstr>
      <vt:lpstr>2. Coleta Seletiva </vt:lpstr>
      <vt:lpstr>3. Transbordo</vt:lpstr>
      <vt:lpstr>4. Transporte </vt:lpstr>
      <vt:lpstr>5. Destino Final</vt:lpstr>
      <vt:lpstr>6. Contentores</vt:lpstr>
      <vt:lpstr>6. Resumo</vt:lpstr>
      <vt:lpstr>7.Enc Sociais</vt:lpstr>
      <vt:lpstr>8.CAGED</vt:lpstr>
      <vt:lpstr>9.BDI</vt:lpstr>
      <vt:lpstr>9.1 BDI Aterro</vt:lpstr>
      <vt:lpstr>10. Ton</vt:lpstr>
      <vt:lpstr>11. Horários</vt:lpstr>
      <vt:lpstr>12. Roteiros</vt:lpstr>
      <vt:lpstr>13. Depr</vt:lpstr>
      <vt:lpstr>14. Rem capital</vt:lpstr>
      <vt:lpstr>15. Dimens</vt:lpstr>
      <vt:lpstr>AbaDeprec</vt:lpstr>
      <vt:lpstr>AbaRemun</vt:lpstr>
      <vt:lpstr>'1. Coleta Orgânica'!Area_de_impressao</vt:lpstr>
      <vt:lpstr>'12. Roteiros'!Area_de_impressao</vt:lpstr>
      <vt:lpstr>'2. Coleta Seletiva '!Area_de_impressao</vt:lpstr>
      <vt:lpstr>'3. Transbordo'!Area_de_impressao</vt:lpstr>
      <vt:lpstr>'4. Transporte '!Area_de_impressao</vt:lpstr>
      <vt:lpstr>'5. Destino Final'!Area_de_impressao</vt:lpstr>
      <vt:lpstr>'6. Contentores'!Area_de_impressao</vt:lpstr>
      <vt:lpstr>'7.Enc Sociais'!Area_de_impressao</vt:lpstr>
      <vt:lpstr>'1. Coleta Orgânica'!Titulos_de_impressao</vt:lpstr>
      <vt:lpstr>'2. Coleta Seletiva '!Titulos_de_impressao</vt:lpstr>
      <vt:lpstr>'3. Transbordo'!Titulos_de_impressao</vt:lpstr>
      <vt:lpstr>'6. Contentores'!Titulos_de_impressao</vt:lpstr>
    </vt:vector>
  </TitlesOfParts>
  <Company>dmlu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Licita-02</cp:lastModifiedBy>
  <cp:lastPrinted>2022-10-19T16:55:37Z</cp:lastPrinted>
  <dcterms:created xsi:type="dcterms:W3CDTF">2000-12-13T10:02:50Z</dcterms:created>
  <dcterms:modified xsi:type="dcterms:W3CDTF">2022-10-21T11:52:52Z</dcterms:modified>
</cp:coreProperties>
</file>