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7755" tabRatio="802"/>
  </bookViews>
  <sheets>
    <sheet name="1. Limpeza Instalações" sheetId="10" r:id="rId1"/>
    <sheet name="2. Encargos Sociais" sheetId="8" r:id="rId2"/>
    <sheet name="3. CAGED" sheetId="5" r:id="rId3"/>
    <sheet name="4. BDI" sheetId="4" r:id="rId4"/>
    <sheet name="5 Horários" sheetId="9" r:id="rId5"/>
  </sheets>
  <definedNames>
    <definedName name="AbaDeprec" localSheetId="0">#REF!</definedName>
    <definedName name="AbaDeprec">#REF!</definedName>
    <definedName name="AbaRemun" localSheetId="0">#REF!</definedName>
    <definedName name="AbaRemun" localSheetId="4">#REF!</definedName>
    <definedName name="AbaRemun">#REF!</definedName>
    <definedName name="_xlnm.Print_Area" localSheetId="0">'1. Limpeza Instalações'!$A$1:$F$163</definedName>
    <definedName name="_xlnm.Print_Area" localSheetId="1">'2. Encargos Sociais'!$A$1:$C$36</definedName>
    <definedName name="_xlnm.Print_Titles" localSheetId="0">'1. Limpeza Instalações'!$1:$1</definedName>
  </definedNames>
  <calcPr calcId="144525"/>
</workbook>
</file>

<file path=xl/calcChain.xml><?xml version="1.0" encoding="utf-8"?>
<calcChain xmlns="http://schemas.openxmlformats.org/spreadsheetml/2006/main">
  <c r="E71" i="10" l="1"/>
  <c r="C149" i="10"/>
  <c r="E149" i="10" s="1"/>
  <c r="E150" i="10"/>
  <c r="C98" i="10" l="1"/>
  <c r="C84" i="10"/>
  <c r="C83" i="10"/>
  <c r="A11" i="10" l="1"/>
  <c r="E66" i="10"/>
  <c r="E65" i="10"/>
  <c r="E67" i="10" l="1"/>
  <c r="D68" i="10" s="1"/>
  <c r="F152" i="10"/>
  <c r="E19" i="10" s="1"/>
  <c r="E137" i="10"/>
  <c r="C131" i="10"/>
  <c r="E127" i="10"/>
  <c r="C118" i="10"/>
  <c r="E117" i="10"/>
  <c r="E116" i="10"/>
  <c r="E115" i="10"/>
  <c r="E114" i="10"/>
  <c r="E113" i="10"/>
  <c r="E112" i="10"/>
  <c r="E111" i="10"/>
  <c r="D93" i="10"/>
  <c r="E93" i="10" s="1"/>
  <c r="E92" i="10"/>
  <c r="A92" i="10"/>
  <c r="E84" i="10"/>
  <c r="D84" i="10"/>
  <c r="D83" i="10"/>
  <c r="C78" i="10"/>
  <c r="E78" i="10" s="1"/>
  <c r="E94" i="10"/>
  <c r="E56" i="10"/>
  <c r="E55" i="10"/>
  <c r="E98" i="10"/>
  <c r="F100" i="10" s="1"/>
  <c r="E15" i="10" s="1"/>
  <c r="E38" i="10"/>
  <c r="E36" i="10"/>
  <c r="A35" i="10"/>
  <c r="E32" i="10"/>
  <c r="D45" i="10" s="1"/>
  <c r="E45" i="10" s="1"/>
  <c r="A31" i="10"/>
  <c r="H27" i="10"/>
  <c r="A20" i="10"/>
  <c r="A19" i="10"/>
  <c r="A18" i="10"/>
  <c r="A17" i="10"/>
  <c r="A16" i="10"/>
  <c r="A15" i="10"/>
  <c r="A14" i="10"/>
  <c r="A13" i="10"/>
  <c r="A12" i="10"/>
  <c r="A10" i="10"/>
  <c r="A9" i="10"/>
  <c r="A8" i="10"/>
  <c r="E57" i="10" l="1"/>
  <c r="D58" i="10" s="1"/>
  <c r="F94" i="10"/>
  <c r="E14" i="10" s="1"/>
  <c r="D118" i="10"/>
  <c r="E118" i="10" s="1"/>
  <c r="D77" i="10"/>
  <c r="D46" i="10"/>
  <c r="E46" i="10" s="1"/>
  <c r="D48" i="10" s="1"/>
  <c r="C138" i="10"/>
  <c r="E138" i="10" s="1"/>
  <c r="C133" i="10"/>
  <c r="E133" i="10" s="1"/>
  <c r="E135" i="10" s="1"/>
  <c r="E126" i="10"/>
  <c r="D130" i="10" s="1"/>
  <c r="E130" i="10" s="1"/>
  <c r="D131" i="10" s="1"/>
  <c r="E131" i="10" s="1"/>
  <c r="C77" i="10"/>
  <c r="E83" i="10"/>
  <c r="F85" i="10" s="1"/>
  <c r="E13" i="10" s="1"/>
  <c r="E77" i="10" l="1"/>
  <c r="F79" i="10" s="1"/>
  <c r="E12" i="10" s="1"/>
  <c r="E140" i="10"/>
  <c r="F141" i="10" s="1"/>
  <c r="F144" i="10" s="1"/>
  <c r="E18" i="10" s="1"/>
  <c r="E47" i="10"/>
  <c r="F10" i="4" l="1"/>
  <c r="F11" i="9" l="1"/>
  <c r="F14" i="9" s="1"/>
  <c r="F16" i="9" l="1"/>
  <c r="E34" i="10" s="1"/>
  <c r="B40" i="10" s="1"/>
  <c r="F119" i="10" l="1"/>
  <c r="F18" i="9"/>
  <c r="F121" i="10" l="1"/>
  <c r="E16" i="10" s="1"/>
  <c r="E17" i="10"/>
  <c r="C17" i="8"/>
  <c r="E10" i="4" l="1"/>
  <c r="C14" i="8"/>
  <c r="C34" i="5"/>
  <c r="C29" i="5"/>
  <c r="C28" i="5"/>
  <c r="C17" i="4" l="1"/>
  <c r="C159" i="10" s="1"/>
  <c r="G28" i="5"/>
  <c r="C39" i="5"/>
  <c r="C16" i="8" s="1"/>
  <c r="E37" i="5"/>
  <c r="D37" i="5" s="1"/>
  <c r="D38" i="5" s="1"/>
  <c r="C38" i="5" s="1"/>
  <c r="C32" i="8" s="1"/>
  <c r="C22" i="8" l="1"/>
  <c r="K35" i="5"/>
  <c r="K36" i="5" s="1"/>
  <c r="K37" i="5" s="1"/>
  <c r="K38" i="5" s="1"/>
  <c r="K39" i="5" s="1"/>
  <c r="K40" i="5" s="1"/>
  <c r="K41" i="5" s="1"/>
  <c r="F37" i="5"/>
  <c r="G37" i="5" s="1"/>
  <c r="C37" i="5"/>
  <c r="C31" i="8" l="1"/>
  <c r="C33" i="8" s="1"/>
  <c r="C29" i="8"/>
  <c r="G38" i="5"/>
  <c r="G32" i="5"/>
  <c r="C34" i="8" l="1"/>
  <c r="C68" i="10" s="1"/>
  <c r="E68" i="10" s="1"/>
  <c r="E69" i="10" s="1"/>
  <c r="D70" i="10" s="1"/>
  <c r="E70" i="10" s="1"/>
  <c r="F71" i="10" s="1"/>
  <c r="E11" i="10" s="1"/>
  <c r="C48" i="10" l="1"/>
  <c r="E48" i="10" s="1"/>
  <c r="C58" i="10"/>
  <c r="E58" i="10" s="1"/>
  <c r="E59" i="10" s="1"/>
  <c r="D60" i="10" s="1"/>
  <c r="E60" i="10" s="1"/>
  <c r="F61" i="10" s="1"/>
  <c r="E10" i="10" s="1"/>
  <c r="E49" i="10" l="1"/>
  <c r="D50" i="10" s="1"/>
  <c r="E50" i="10" s="1"/>
  <c r="F51" i="10"/>
  <c r="F102" i="10" s="1"/>
  <c r="E9" i="10" l="1"/>
  <c r="F155" i="10" l="1"/>
  <c r="D159" i="10" s="1"/>
  <c r="E159" i="10" s="1"/>
  <c r="F161" i="10" s="1"/>
  <c r="E20" i="10" s="1"/>
  <c r="E8" i="10"/>
  <c r="F163" i="10" l="1"/>
  <c r="F165" i="10" s="1"/>
  <c r="E21" i="10"/>
  <c r="F11" i="10" s="1"/>
  <c r="F20" i="10" l="1"/>
  <c r="F15" i="10"/>
  <c r="F19" i="10"/>
  <c r="F14" i="10"/>
  <c r="F17" i="10"/>
  <c r="F13" i="10"/>
  <c r="F12" i="10"/>
  <c r="F16" i="10"/>
  <c r="F18" i="10"/>
  <c r="F10" i="10"/>
  <c r="F9" i="10"/>
  <c r="F8" i="10"/>
  <c r="F21" i="10" l="1"/>
</calcChain>
</file>

<file path=xl/sharedStrings.xml><?xml version="1.0" encoding="utf-8"?>
<sst xmlns="http://schemas.openxmlformats.org/spreadsheetml/2006/main" count="364" uniqueCount="250">
  <si>
    <t>Adicional de Insalubridade</t>
  </si>
  <si>
    <t>%</t>
  </si>
  <si>
    <t>Soma</t>
  </si>
  <si>
    <t>Encargos Sociais</t>
  </si>
  <si>
    <t>Total do Efetivo</t>
  </si>
  <si>
    <t>homem</t>
  </si>
  <si>
    <t>mês</t>
  </si>
  <si>
    <t>unidade</t>
  </si>
  <si>
    <t>Calça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</si>
  <si>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</si>
  <si>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</si>
  <si>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</si>
  <si>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</si>
  <si>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</si>
  <si>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</si>
  <si>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</si>
  <si>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</si>
  <si>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1. Mão-de-obra</t>
  </si>
  <si>
    <t>par</t>
  </si>
  <si>
    <t>Total de mão-de-obra (postos de trabalho)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</si>
  <si>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</si>
  <si>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</si>
  <si>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</si>
  <si>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</si>
  <si>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</si>
  <si>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</si>
  <si>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</si>
  <si>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</si>
  <si>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</si>
  <si>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</si>
  <si>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</si>
  <si>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</si>
  <si>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</si>
  <si>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</si>
  <si>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</si>
  <si>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</si>
  <si>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</si>
  <si>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</si>
  <si>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Quantitativos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</si>
  <si>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</si>
  <si>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</si>
  <si>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</si>
  <si>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</si>
  <si>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</si>
  <si>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</si>
  <si>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</si>
  <si>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</si>
  <si>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</si>
  <si>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</si>
  <si>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</si>
  <si>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</si>
  <si>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</si>
  <si>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</si>
  <si>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</si>
  <si>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</si>
  <si>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</si>
  <si>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</si>
  <si>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</si>
  <si>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</si>
  <si>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</si>
  <si>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</si>
  <si>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</si>
  <si>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</si>
  <si>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</si>
  <si>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</si>
  <si>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</si>
  <si>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</si>
  <si>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</si>
  <si>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</si>
  <si>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</si>
  <si>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</si>
  <si>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</si>
  <si>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</si>
  <si>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</si>
  <si>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</si>
  <si>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</si>
  <si>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</si>
  <si>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</si>
  <si>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</si>
  <si>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</si>
  <si>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</si>
  <si>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</si>
  <si>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</si>
  <si>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</si>
  <si>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</si>
  <si>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</si>
  <si>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</si>
  <si>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</si>
  <si>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</si>
  <si>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</si>
  <si>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</si>
  <si>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</si>
  <si>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</si>
  <si>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</si>
  <si>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</si>
  <si>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</si>
  <si>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</si>
  <si>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</si>
  <si>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</si>
  <si>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</si>
  <si>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</si>
  <si>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</si>
  <si>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</si>
  <si>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</si>
  <si>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</si>
  <si>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</si>
  <si>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Médio</t>
  </si>
  <si>
    <t>DU</t>
  </si>
  <si>
    <t>Fator de utilização (FU)</t>
  </si>
  <si>
    <t>Descrição do Item</t>
  </si>
  <si>
    <t>Orçamento Sintético</t>
  </si>
  <si>
    <t>Orientações para preenchimento:</t>
  </si>
  <si>
    <t>2. Preencher somente células em amarelo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</si>
  <si>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</si>
  <si>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</si>
  <si>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5. Clique em Gerar Relatório</t>
  </si>
  <si>
    <t>Para preencher esta planilha siga os passos 1 a 5:</t>
  </si>
  <si>
    <t>Piso da categoria</t>
  </si>
  <si>
    <t>C2</t>
  </si>
  <si>
    <t>B3</t>
  </si>
  <si>
    <t>Custo unitário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</si>
  <si>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</si>
  <si>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</si>
  <si>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</si>
  <si>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</si>
  <si>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</si>
  <si>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</si>
  <si>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</si>
  <si>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</si>
  <si>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2. Na Especificação da Consulta, selecione "Demonstrativo por período" e informe as competências relativas ao período Inicial e Final (últimos 12 meses)</t>
  </si>
  <si>
    <t>Durabilidade (meses)</t>
  </si>
  <si>
    <t>PLANILHA DE CUSTOS</t>
  </si>
  <si>
    <t>Fator de util.</t>
  </si>
  <si>
    <t>1. Custo Mensal com Mão-de-obra</t>
  </si>
  <si>
    <t>2. Custo Mensal com Uniformes e EPIs</t>
  </si>
  <si>
    <t>PREÇO MENSAL TOTAL</t>
  </si>
  <si>
    <t>Estoque recuperado início do Período 01-05-2017</t>
  </si>
  <si>
    <t>Estoque recuperado final do Período 31-05-2018</t>
  </si>
  <si>
    <t>Variação Emprego Absoluta de 01-05-2017 a 31-05-2018</t>
  </si>
  <si>
    <t>AC = taxa representativa das despesas de rateio da administração central</t>
  </si>
  <si>
    <t xml:space="preserve">R = taxa representativa de riscos </t>
  </si>
  <si>
    <t xml:space="preserve">S = taxa representativa de seguros </t>
  </si>
  <si>
    <t xml:space="preserve">G = taxa representativa de garantias </t>
  </si>
  <si>
    <t xml:space="preserve">DF = taxa representativa das despesas financeiras </t>
  </si>
  <si>
    <t xml:space="preserve">L = taxa representativa do lucro ou remuneração </t>
  </si>
  <si>
    <t xml:space="preserve">T = taxa representativa da incidência de tributos </t>
  </si>
  <si>
    <t>Rio Grande do Sul  - Atividade de limpeza não especif. anteriormente - CNAE 81290</t>
  </si>
  <si>
    <t>PREÇO TOTAL MENSAL</t>
  </si>
  <si>
    <t>Tempo trabalho por mês (Horas)</t>
  </si>
  <si>
    <t>Total por Assistente Administrativo</t>
  </si>
  <si>
    <t>2.1. Uniformes e EPIs</t>
  </si>
  <si>
    <t xml:space="preserve">Seguro contra acidentes de trabalho </t>
  </si>
  <si>
    <t>1° Quartil</t>
  </si>
  <si>
    <t>SELIC</t>
  </si>
  <si>
    <t>Tempo trabalho por mês (Horas) + (DSR)</t>
  </si>
  <si>
    <t xml:space="preserve">Piso da categoria  + 4,56% IPCA Base 2018  </t>
  </si>
  <si>
    <t>4. Nível Setorial: selecione "Classe de atividade econômica segundo a classificação CNAE – versão 2.0 (669 categorias)" e marque a opção "81290 - Atividade de limpeza não especif. anteriormente "</t>
  </si>
  <si>
    <t xml:space="preserve">PREÇO MENSAL POR FUNCIONÁRIO </t>
  </si>
  <si>
    <t>CÁLCULO DAS VERBAS INDENIZATÓRIAS DOS EMPREGADOS NO SETOR DE LIMPEZA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</si>
  <si>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</si>
  <si>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</si>
  <si>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</si>
  <si>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</si>
  <si>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</si>
  <si>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</si>
  <si>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</si>
  <si>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</si>
  <si>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</si>
  <si>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</si>
  <si>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</si>
  <si>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</si>
  <si>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</si>
  <si>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Total geral de horas base mês com (DSR)</t>
  </si>
  <si>
    <t xml:space="preserve">Fator de utilização </t>
  </si>
  <si>
    <t>Segunda a sexta</t>
  </si>
  <si>
    <t xml:space="preserve">Total de horas por funcionário </t>
  </si>
  <si>
    <t>Total por Funcionário</t>
  </si>
  <si>
    <t>Licença Maternidade/Paternidade</t>
  </si>
  <si>
    <t>Jaqueta com reflexivo (NBR 15.292)</t>
  </si>
  <si>
    <t xml:space="preserve">Quantidade de trabalhadores </t>
  </si>
  <si>
    <t>CUSTO TOTAL MENSAL COM DESPESAS OPERACIONAIS (R$/mês)</t>
  </si>
  <si>
    <t>Vale Transporte</t>
  </si>
  <si>
    <t>R$</t>
  </si>
  <si>
    <t>Dias Trabalhados por mês</t>
  </si>
  <si>
    <t>dia</t>
  </si>
  <si>
    <t>vale</t>
  </si>
  <si>
    <t>Motorista</t>
  </si>
  <si>
    <t xml:space="preserve">Complemento por ser encarregado </t>
  </si>
  <si>
    <t>Fator de utilização</t>
  </si>
  <si>
    <t>Motorista/Encarregado (50% do valor)</t>
  </si>
  <si>
    <t>Motorista/Encarregado</t>
  </si>
  <si>
    <t>1.5. Auxílio Alimentação (mensal)</t>
  </si>
  <si>
    <t>3° Quartil</t>
  </si>
  <si>
    <t>Composição do BDI - Benefícios e Despesas Indiretas</t>
  </si>
  <si>
    <t>Total por funcionário</t>
  </si>
  <si>
    <t>4. Benefícios e Despesas Indiretas</t>
  </si>
  <si>
    <t xml:space="preserve">Obs: cada empresa deverá prever seus encargos sociais e impostos conforme determina a legislação de sua atividade. </t>
  </si>
  <si>
    <t>4. Custo Mensal Com BDI</t>
  </si>
  <si>
    <t xml:space="preserve">Plano de Benefício Social </t>
  </si>
  <si>
    <t xml:space="preserve">Camisa manga curta </t>
  </si>
  <si>
    <t xml:space="preserve">Camisa manga longa </t>
  </si>
  <si>
    <t xml:space="preserve">Botina, ou tenis compatível  </t>
  </si>
  <si>
    <t xml:space="preserve">3. Equipamentos/ferramentas </t>
  </si>
  <si>
    <t xml:space="preserve">3.1. Depreciação/manutenção/ferramentas </t>
  </si>
  <si>
    <t>Vida útil</t>
  </si>
  <si>
    <t>anos</t>
  </si>
  <si>
    <t>Idade do equipamento</t>
  </si>
  <si>
    <t>Depreciação</t>
  </si>
  <si>
    <t>Depreciação mensal</t>
  </si>
  <si>
    <t xml:space="preserve">Ferramentas conforme Termo de Referência </t>
  </si>
  <si>
    <t xml:space="preserve">Conjunto </t>
  </si>
  <si>
    <t>meses</t>
  </si>
  <si>
    <t xml:space="preserve">Custo mensal </t>
  </si>
  <si>
    <t>Custo de manutenção dos equipamentos e ferramentas</t>
  </si>
  <si>
    <t xml:space="preserve">mês </t>
  </si>
  <si>
    <t xml:space="preserve">Total geral c/despesas de equipamentos e ferram. </t>
  </si>
  <si>
    <t xml:space="preserve">Piso da categoria Base </t>
  </si>
  <si>
    <t>Valor do piso para 220 horas mensais (Base 2022)</t>
  </si>
  <si>
    <t>Custo Mensal com Equipamentos/Ferramentas e Materiais de Consumo (R$/mês)</t>
  </si>
  <si>
    <t xml:space="preserve">Composição dos Encargos Sociais </t>
  </si>
  <si>
    <t>CAGED</t>
  </si>
  <si>
    <t>Atividades de limpeza urbana</t>
  </si>
  <si>
    <t xml:space="preserve">Carrinho de Varrição </t>
  </si>
  <si>
    <t xml:space="preserve">Uni/mês </t>
  </si>
  <si>
    <t xml:space="preserve">Obs: valor previsto na convenção coletiva R$20,81 com desconto de 19% do funcionário.  </t>
  </si>
  <si>
    <t>Sacos plástico de lixo de 100 litros reforçado</t>
  </si>
  <si>
    <t>Periodicidade: Segunda à Sexta</t>
  </si>
  <si>
    <t xml:space="preserve">Obs: contempla 01:30 horas de intervalo de segunda a sexta.  </t>
  </si>
  <si>
    <t>Salário Normativo: Convenção Coletiva: 19964.100238/2022-98</t>
  </si>
  <si>
    <t>a) Categoria: Profissional prestador de serviços de auxiliar de limpeza  cód. 5143</t>
  </si>
  <si>
    <t>1.1. Categoria Profissional Prestador de Serviços de Auxiliar de Limpeza</t>
  </si>
  <si>
    <t xml:space="preserve">Auxíliar de limpeza </t>
  </si>
  <si>
    <t>Auxiliar de limpeza</t>
  </si>
  <si>
    <t xml:space="preserve">Contratação serviços de limpeza de Instalações de Órgãos Públicos de Tapejara </t>
  </si>
  <si>
    <t xml:space="preserve">1.2. Assistente Administrativo </t>
  </si>
  <si>
    <t xml:space="preserve">1.3. Supervisor/Encarregado </t>
  </si>
  <si>
    <t>1.4. Vale Transporte</t>
  </si>
  <si>
    <t xml:space="preserve">1.5. Auxílio Refeição </t>
  </si>
  <si>
    <t xml:space="preserve">1.6. Plano de Benefício Social  </t>
  </si>
  <si>
    <t>Assistente Adiministrativo/Encarregado</t>
  </si>
  <si>
    <t xml:space="preserve">Luva latex para limpeza </t>
  </si>
  <si>
    <t xml:space="preserve">3. Administração Local/Veículo de Apoio </t>
  </si>
  <si>
    <t>Custo do veículo de apoio (manut/deprec. e comb)</t>
  </si>
  <si>
    <t>Km/rodados/mês</t>
  </si>
  <si>
    <t xml:space="preserve">Instalação para Escritório Administrativo (aluguel e despesas do local) </t>
  </si>
  <si>
    <t xml:space="preserve">Prefeitura Municipal de Tapejara </t>
  </si>
  <si>
    <t>Jaleco de manga curta/Colete reflexivo</t>
  </si>
  <si>
    <t xml:space="preserve">Cargo: Atividades de limpeza </t>
  </si>
  <si>
    <t>Planilha com os horários dos funcionários - limpeza</t>
  </si>
  <si>
    <t xml:space="preserve">Obs: considerado 200 horas/mês c/DSR para cada funcionário.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</si>
</sst>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;[Red]&quot;R$&quot;\ \-#,##0.00"/>
    <numFmt numFmtId="165" formatCode="_ &quot;R$&quot;\ * #,##0.00_ ;_ &quot;R$&quot;\ * \-#,##0.00_ ;_ &quot;R$&quot;\ * &quot;-&quot;??_ ;_ @_ "/>
    <numFmt numFmtId="166" formatCode="&quot;R$ &quot;#,##0.00_);\(&quot;R$ &quot;#,##0.00\)"/>
    <numFmt numFmtId="167" formatCode="_(* #,##0.00_);_(* \(#,##0.00\);_(* &quot;-&quot;??_);_(@_)"/>
    <numFmt numFmtId="168" formatCode="_(* #,##0_);_(* \(#,##0\);_(* &quot;-&quot;??_);_(@_)"/>
    <numFmt numFmtId="169" formatCode="&quot;R$ &quot;#,##0.00"/>
    <numFmt numFmtId="170" formatCode="0.0000"/>
    <numFmt numFmtId="171" formatCode="_(* #,##0.0000_);_(* \(#,##0.0000\);_(* &quot;-&quot;??_);_(@_)"/>
    <numFmt numFmtId="172" formatCode="_-[$R$-416]\ * #,##0.00_-;\-[$R$-416]\ * #,##0.00_-;_-[$R$-416]\ * &quot;-&quot;??_-;_-@_-"/>
    <numFmt numFmtId="173" formatCode="_-* #,##0.0_-;\-* #,##0.0_-;_-* &quot;-&quot;??_-;_-@_-"/>
    <numFmt numFmtId="174" formatCode="_ * #,##0.00_ ;_ * \-#,##0.00_ ;_ * &quot;-&quot;??_ ;_ @_ "/>
    <numFmt numFmtId="175" formatCode="0.00000"/>
    <numFmt numFmtId="176" formatCode="_(* #,##0.00_);_(* \(#,##0.00\);_(* \-??_);_(@_)"/>
    <numFmt numFmtId="177" formatCode="_(* #,##0_);_(* \(#,##0\);_(* \-??_);_(@_)"/>
    <numFmt numFmtId="178" formatCode="_-&quot;R$ &quot;* #,##0.00_-;&quot;-R$ &quot;* #,##0.00_-;_-&quot;R$ &quot;* \-??_-;_-@_-"/>
    <numFmt numFmtId="179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  <charset val="1"/>
    </font>
    <font>
      <b/>
      <u/>
      <sz val="10"/>
      <color indexed="12"/>
      <name val="Arial"/>
      <family val="2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rgb="FF666699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410">
    <xf numFmtId="0" fontId="0" fillId="0" borderId="0" xfId="0"/>
    <xf numFmtId="0" fontId="11" fillId="0" borderId="0" xfId="0" applyFont="1"/>
    <xf numFmtId="0" fontId="0" fillId="0" borderId="0" xfId="0" applyAlignment="1">
      <alignment vertical="center"/>
    </xf>
    <xf numFmtId="167" fontId="0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7" fontId="11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7" fontId="8" fillId="0" borderId="0" xfId="3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67" fontId="8" fillId="0" borderId="6" xfId="3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7" fontId="11" fillId="0" borderId="6" xfId="3" applyFont="1" applyBorder="1" applyAlignment="1">
      <alignment vertical="center"/>
    </xf>
    <xf numFmtId="167" fontId="11" fillId="0" borderId="7" xfId="3" applyFont="1" applyBorder="1" applyAlignment="1">
      <alignment vertical="center"/>
    </xf>
    <xf numFmtId="167" fontId="8" fillId="0" borderId="0" xfId="3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7" fontId="8" fillId="0" borderId="0" xfId="3" applyFont="1" applyBorder="1" applyAlignment="1">
      <alignment vertical="center"/>
    </xf>
    <xf numFmtId="167" fontId="10" fillId="0" borderId="0" xfId="3" applyFont="1" applyAlignment="1">
      <alignment vertical="center"/>
    </xf>
    <xf numFmtId="167" fontId="0" fillId="0" borderId="9" xfId="3" applyFont="1" applyBorder="1" applyAlignment="1">
      <alignment vertical="center"/>
    </xf>
    <xf numFmtId="167" fontId="8" fillId="0" borderId="10" xfId="3" applyFont="1" applyBorder="1" applyAlignment="1">
      <alignment horizontal="center" vertical="center"/>
    </xf>
    <xf numFmtId="167" fontId="8" fillId="0" borderId="5" xfId="3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centerContinuous" vertical="center"/>
    </xf>
    <xf numFmtId="167" fontId="8" fillId="0" borderId="0" xfId="3" applyFont="1" applyAlignment="1">
      <alignment vertical="center"/>
    </xf>
    <xf numFmtId="167" fontId="0" fillId="0" borderId="8" xfId="0" applyNumberFormat="1" applyBorder="1" applyAlignment="1">
      <alignment vertical="center"/>
    </xf>
    <xf numFmtId="167" fontId="0" fillId="0" borderId="8" xfId="3" applyFont="1" applyBorder="1" applyAlignment="1">
      <alignment vertical="center"/>
    </xf>
    <xf numFmtId="167" fontId="0" fillId="0" borderId="12" xfId="3" applyFont="1" applyBorder="1" applyAlignment="1">
      <alignment vertical="center"/>
    </xf>
    <xf numFmtId="167" fontId="11" fillId="0" borderId="1" xfId="3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7" fontId="9" fillId="0" borderId="0" xfId="3" applyFont="1" applyBorder="1" applyAlignment="1">
      <alignment vertical="center"/>
    </xf>
    <xf numFmtId="167" fontId="11" fillId="0" borderId="0" xfId="3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67" fontId="14" fillId="2" borderId="15" xfId="3" applyFont="1" applyFill="1" applyBorder="1" applyAlignment="1">
      <alignment horizontal="center" vertical="center"/>
    </xf>
    <xf numFmtId="167" fontId="14" fillId="2" borderId="16" xfId="3" applyFont="1" applyFill="1" applyBorder="1" applyAlignment="1">
      <alignment horizontal="center" vertical="center"/>
    </xf>
    <xf numFmtId="167" fontId="8" fillId="0" borderId="17" xfId="3" applyFont="1" applyBorder="1" applyAlignment="1">
      <alignment horizontal="center" vertical="center"/>
    </xf>
    <xf numFmtId="167" fontId="6" fillId="0" borderId="12" xfId="3" applyFont="1" applyBorder="1" applyAlignment="1">
      <alignment horizontal="left" vertical="center"/>
    </xf>
    <xf numFmtId="167" fontId="11" fillId="0" borderId="8" xfId="3" applyFont="1" applyBorder="1" applyAlignment="1">
      <alignment vertical="center"/>
    </xf>
    <xf numFmtId="168" fontId="11" fillId="0" borderId="0" xfId="3" applyNumberFormat="1" applyFont="1" applyBorder="1" applyAlignment="1">
      <alignment horizontal="center" vertical="center"/>
    </xf>
    <xf numFmtId="167" fontId="8" fillId="0" borderId="26" xfId="3" applyFont="1" applyBorder="1" applyAlignment="1">
      <alignment vertical="center"/>
    </xf>
    <xf numFmtId="4" fontId="8" fillId="0" borderId="27" xfId="0" applyNumberFormat="1" applyFont="1" applyBorder="1" applyAlignment="1">
      <alignment vertical="center"/>
    </xf>
    <xf numFmtId="167" fontId="11" fillId="0" borderId="9" xfId="3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1" fontId="8" fillId="0" borderId="29" xfId="3" applyNumberFormat="1" applyFont="1" applyBorder="1" applyAlignment="1">
      <alignment horizontal="center" vertical="center"/>
    </xf>
    <xf numFmtId="0" fontId="8" fillId="0" borderId="0" xfId="0" applyFont="1"/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67" fontId="14" fillId="2" borderId="31" xfId="3" applyFont="1" applyFill="1" applyBorder="1" applyAlignment="1">
      <alignment horizontal="center" vertical="center"/>
    </xf>
    <xf numFmtId="166" fontId="8" fillId="0" borderId="32" xfId="0" applyNumberFormat="1" applyFont="1" applyBorder="1" applyAlignment="1">
      <alignment vertical="center"/>
    </xf>
    <xf numFmtId="167" fontId="8" fillId="0" borderId="33" xfId="3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11" fillId="0" borderId="0" xfId="3" applyFont="1" applyAlignment="1">
      <alignment horizontal="right" vertical="center"/>
    </xf>
    <xf numFmtId="167" fontId="8" fillId="0" borderId="12" xfId="3" applyFont="1" applyBorder="1" applyAlignment="1">
      <alignment vertical="center"/>
    </xf>
    <xf numFmtId="167" fontId="8" fillId="0" borderId="8" xfId="0" applyNumberFormat="1" applyFont="1" applyBorder="1" applyAlignment="1">
      <alignment vertical="center"/>
    </xf>
    <xf numFmtId="167" fontId="8" fillId="0" borderId="8" xfId="3" applyFont="1" applyBorder="1" applyAlignment="1">
      <alignment vertical="center"/>
    </xf>
    <xf numFmtId="4" fontId="8" fillId="0" borderId="8" xfId="0" applyNumberFormat="1" applyFont="1" applyBorder="1" applyAlignment="1">
      <alignment horizontal="centerContinuous" vertical="center"/>
    </xf>
    <xf numFmtId="4" fontId="11" fillId="0" borderId="0" xfId="0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vertical="center"/>
    </xf>
    <xf numFmtId="0" fontId="0" fillId="0" borderId="36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7" fontId="0" fillId="0" borderId="0" xfId="3" applyFont="1" applyFill="1" applyBorder="1" applyAlignment="1">
      <alignment vertical="center"/>
    </xf>
    <xf numFmtId="167" fontId="0" fillId="0" borderId="37" xfId="3" applyFont="1" applyFill="1" applyBorder="1" applyAlignment="1">
      <alignment vertical="center"/>
    </xf>
    <xf numFmtId="168" fontId="8" fillId="0" borderId="0" xfId="3" applyNumberFormat="1" applyFont="1" applyBorder="1" applyAlignment="1">
      <alignment horizontal="center" vertical="center"/>
    </xf>
    <xf numFmtId="0" fontId="17" fillId="0" borderId="12" xfId="0" applyFont="1" applyBorder="1"/>
    <xf numFmtId="0" fontId="11" fillId="0" borderId="0" xfId="0" applyFont="1" applyBorder="1"/>
    <xf numFmtId="0" fontId="17" fillId="0" borderId="43" xfId="0" applyFont="1" applyBorder="1"/>
    <xf numFmtId="0" fontId="17" fillId="3" borderId="18" xfId="0" applyFont="1" applyFill="1" applyBorder="1"/>
    <xf numFmtId="0" fontId="17" fillId="0" borderId="21" xfId="0" applyFont="1" applyBorder="1"/>
    <xf numFmtId="0" fontId="17" fillId="0" borderId="47" xfId="0" applyFont="1" applyBorder="1"/>
    <xf numFmtId="0" fontId="17" fillId="0" borderId="44" xfId="0" applyFont="1" applyBorder="1"/>
    <xf numFmtId="0" fontId="17" fillId="0" borderId="48" xfId="0" applyFont="1" applyBorder="1"/>
    <xf numFmtId="0" fontId="17" fillId="0" borderId="18" xfId="0" applyFont="1" applyBorder="1"/>
    <xf numFmtId="0" fontId="17" fillId="0" borderId="26" xfId="0" applyFont="1" applyBorder="1"/>
    <xf numFmtId="0" fontId="18" fillId="0" borderId="2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0" fontId="18" fillId="0" borderId="18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0" fontId="19" fillId="0" borderId="18" xfId="0" applyNumberFormat="1" applyFont="1" applyBorder="1" applyAlignment="1">
      <alignment horizontal="right" vertical="center"/>
    </xf>
    <xf numFmtId="0" fontId="18" fillId="5" borderId="2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10" fontId="19" fillId="5" borderId="18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10" fontId="11" fillId="0" borderId="0" xfId="0" applyNumberFormat="1" applyFont="1"/>
    <xf numFmtId="9" fontId="18" fillId="0" borderId="0" xfId="2" applyFont="1" applyBorder="1" applyAlignment="1">
      <alignment horizontal="right" vertical="center"/>
    </xf>
    <xf numFmtId="10" fontId="11" fillId="0" borderId="0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8" fillId="8" borderId="22" xfId="0" applyFont="1" applyFill="1" applyBorder="1" applyAlignment="1">
      <alignment horizontal="left" vertical="center"/>
    </xf>
    <xf numFmtId="0" fontId="19" fillId="8" borderId="34" xfId="0" applyFont="1" applyFill="1" applyBorder="1" applyAlignment="1">
      <alignment horizontal="left" vertical="center"/>
    </xf>
    <xf numFmtId="10" fontId="19" fillId="8" borderId="35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10" fontId="18" fillId="0" borderId="0" xfId="0" applyNumberFormat="1" applyFont="1" applyFill="1" applyBorder="1" applyAlignment="1">
      <alignment horizontal="right" vertical="center"/>
    </xf>
    <xf numFmtId="10" fontId="18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justify" vertical="center"/>
    </xf>
    <xf numFmtId="0" fontId="13" fillId="0" borderId="0" xfId="1" applyFont="1" applyBorder="1" applyAlignment="1" applyProtection="1">
      <alignment horizontal="left" vertical="center"/>
    </xf>
    <xf numFmtId="0" fontId="23" fillId="0" borderId="0" xfId="0" applyFont="1" applyBorder="1"/>
    <xf numFmtId="0" fontId="18" fillId="0" borderId="0" xfId="0" applyFont="1" applyBorder="1" applyAlignment="1">
      <alignment horizontal="right" vertical="center"/>
    </xf>
    <xf numFmtId="0" fontId="13" fillId="0" borderId="0" xfId="1" applyFont="1" applyBorder="1" applyAlignment="1" applyProtection="1">
      <alignment vertical="center"/>
    </xf>
    <xf numFmtId="0" fontId="10" fillId="0" borderId="13" xfId="0" applyFont="1" applyBorder="1"/>
    <xf numFmtId="0" fontId="10" fillId="0" borderId="21" xfId="0" applyFont="1" applyBorder="1"/>
    <xf numFmtId="0" fontId="10" fillId="3" borderId="18" xfId="0" applyFont="1" applyFill="1" applyBorder="1"/>
    <xf numFmtId="0" fontId="10" fillId="0" borderId="43" xfId="0" applyFont="1" applyBorder="1"/>
    <xf numFmtId="0" fontId="10" fillId="3" borderId="44" xfId="0" applyFont="1" applyFill="1" applyBorder="1"/>
    <xf numFmtId="0" fontId="10" fillId="0" borderId="45" xfId="0" applyFont="1" applyBorder="1"/>
    <xf numFmtId="0" fontId="10" fillId="3" borderId="46" xfId="0" applyFont="1" applyFill="1" applyBorder="1"/>
    <xf numFmtId="0" fontId="10" fillId="0" borderId="36" xfId="0" applyFont="1" applyBorder="1"/>
    <xf numFmtId="0" fontId="10" fillId="0" borderId="37" xfId="0" applyFont="1" applyBorder="1"/>
    <xf numFmtId="0" fontId="12" fillId="0" borderId="44" xfId="0" applyFont="1" applyBorder="1"/>
    <xf numFmtId="9" fontId="12" fillId="0" borderId="44" xfId="0" applyNumberFormat="1" applyFont="1" applyBorder="1"/>
    <xf numFmtId="0" fontId="12" fillId="0" borderId="36" xfId="0" applyFont="1" applyFill="1" applyBorder="1" applyAlignment="1">
      <alignment horizontal="left" vertical="center"/>
    </xf>
    <xf numFmtId="0" fontId="10" fillId="0" borderId="0" xfId="0" applyFont="1" applyBorder="1"/>
    <xf numFmtId="9" fontId="10" fillId="0" borderId="21" xfId="2" applyFont="1" applyBorder="1"/>
    <xf numFmtId="9" fontId="10" fillId="0" borderId="1" xfId="2" applyFont="1" applyBorder="1" applyAlignment="1">
      <alignment horizontal="center"/>
    </xf>
    <xf numFmtId="9" fontId="10" fillId="0" borderId="18" xfId="2" applyFont="1" applyBorder="1"/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10" fontId="10" fillId="3" borderId="10" xfId="0" applyNumberFormat="1" applyFont="1" applyFill="1" applyBorder="1" applyAlignment="1">
      <alignment horizontal="center" vertical="center"/>
    </xf>
    <xf numFmtId="10" fontId="10" fillId="0" borderId="18" xfId="2" applyNumberFormat="1" applyFont="1" applyBorder="1"/>
    <xf numFmtId="0" fontId="10" fillId="0" borderId="2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0" fontId="10" fillId="3" borderId="18" xfId="0" applyNumberFormat="1" applyFont="1" applyFill="1" applyBorder="1" applyAlignment="1">
      <alignment horizontal="center" vertical="center"/>
    </xf>
    <xf numFmtId="10" fontId="10" fillId="3" borderId="1" xfId="2" applyNumberFormat="1" applyFont="1" applyFill="1" applyBorder="1" applyAlignment="1">
      <alignment horizontal="center"/>
    </xf>
    <xf numFmtId="0" fontId="10" fillId="0" borderId="18" xfId="0" applyFont="1" applyBorder="1"/>
    <xf numFmtId="0" fontId="10" fillId="0" borderId="22" xfId="0" applyFont="1" applyFill="1" applyBorder="1" applyAlignment="1">
      <alignment horizontal="left" vertical="center"/>
    </xf>
    <xf numFmtId="10" fontId="10" fillId="3" borderId="3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10" fontId="10" fillId="0" borderId="25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/>
    </xf>
    <xf numFmtId="10" fontId="10" fillId="0" borderId="21" xfId="2" applyNumberFormat="1" applyFont="1" applyBorder="1" applyAlignment="1">
      <alignment horizontal="right"/>
    </xf>
    <xf numFmtId="10" fontId="10" fillId="0" borderId="1" xfId="2" applyNumberFormat="1" applyFont="1" applyBorder="1" applyAlignment="1">
      <alignment horizontal="right"/>
    </xf>
    <xf numFmtId="10" fontId="10" fillId="0" borderId="18" xfId="2" applyNumberFormat="1" applyFont="1" applyBorder="1" applyAlignment="1">
      <alignment horizontal="right"/>
    </xf>
    <xf numFmtId="10" fontId="10" fillId="0" borderId="22" xfId="2" applyNumberFormat="1" applyFont="1" applyBorder="1" applyAlignment="1">
      <alignment horizontal="right"/>
    </xf>
    <xf numFmtId="10" fontId="10" fillId="0" borderId="34" xfId="2" applyNumberFormat="1" applyFont="1" applyBorder="1" applyAlignment="1">
      <alignment horizontal="right"/>
    </xf>
    <xf numFmtId="10" fontId="10" fillId="0" borderId="35" xfId="2" applyNumberFormat="1" applyFont="1" applyBorder="1" applyAlignment="1">
      <alignment horizontal="right"/>
    </xf>
    <xf numFmtId="167" fontId="8" fillId="0" borderId="9" xfId="3" applyFont="1" applyBorder="1" applyAlignment="1">
      <alignment vertical="center"/>
    </xf>
    <xf numFmtId="167" fontId="8" fillId="0" borderId="5" xfId="3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6" fillId="0" borderId="0" xfId="0" applyFont="1"/>
    <xf numFmtId="170" fontId="17" fillId="0" borderId="44" xfId="0" applyNumberFormat="1" applyFont="1" applyBorder="1"/>
    <xf numFmtId="170" fontId="12" fillId="0" borderId="44" xfId="0" applyNumberFormat="1" applyFont="1" applyBorder="1"/>
    <xf numFmtId="170" fontId="12" fillId="0" borderId="29" xfId="0" applyNumberFormat="1" applyFont="1" applyBorder="1"/>
    <xf numFmtId="0" fontId="10" fillId="0" borderId="21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7" fontId="11" fillId="0" borderId="38" xfId="3" applyFont="1" applyBorder="1" applyAlignment="1">
      <alignment vertical="center"/>
    </xf>
    <xf numFmtId="0" fontId="0" fillId="0" borderId="38" xfId="0" applyBorder="1" applyAlignment="1">
      <alignment vertical="center"/>
    </xf>
    <xf numFmtId="167" fontId="6" fillId="0" borderId="40" xfId="3" applyFont="1" applyBorder="1" applyAlignment="1">
      <alignment vertical="center"/>
    </xf>
    <xf numFmtId="167" fontId="6" fillId="0" borderId="0" xfId="3" applyFont="1" applyAlignment="1">
      <alignment vertical="center"/>
    </xf>
    <xf numFmtId="0" fontId="26" fillId="10" borderId="5" xfId="0" applyFont="1" applyFill="1" applyBorder="1" applyAlignment="1">
      <alignment vertical="center"/>
    </xf>
    <xf numFmtId="0" fontId="26" fillId="10" borderId="6" xfId="0" applyFont="1" applyFill="1" applyBorder="1" applyAlignment="1">
      <alignment vertical="center"/>
    </xf>
    <xf numFmtId="167" fontId="26" fillId="10" borderId="6" xfId="3" applyFont="1" applyFill="1" applyBorder="1" applyAlignment="1">
      <alignment vertical="center"/>
    </xf>
    <xf numFmtId="167" fontId="26" fillId="10" borderId="7" xfId="3" applyFont="1" applyFill="1" applyBorder="1" applyAlignment="1">
      <alignment vertical="center"/>
    </xf>
    <xf numFmtId="0" fontId="27" fillId="10" borderId="6" xfId="0" applyFont="1" applyFill="1" applyBorder="1" applyAlignment="1">
      <alignment vertical="center"/>
    </xf>
    <xf numFmtId="167" fontId="27" fillId="10" borderId="6" xfId="3" applyFont="1" applyFill="1" applyBorder="1" applyAlignment="1">
      <alignment vertical="center"/>
    </xf>
    <xf numFmtId="167" fontId="27" fillId="10" borderId="7" xfId="3" applyFont="1" applyFill="1" applyBorder="1" applyAlignment="1">
      <alignment vertical="center"/>
    </xf>
    <xf numFmtId="44" fontId="26" fillId="10" borderId="4" xfId="4" applyFont="1" applyFill="1" applyBorder="1" applyAlignment="1">
      <alignment horizontal="center" vertical="center"/>
    </xf>
    <xf numFmtId="44" fontId="26" fillId="10" borderId="4" xfId="4" applyFont="1" applyFill="1" applyBorder="1" applyAlignment="1">
      <alignment vertical="center"/>
    </xf>
    <xf numFmtId="44" fontId="8" fillId="2" borderId="4" xfId="4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171" fontId="11" fillId="0" borderId="1" xfId="3" applyNumberFormat="1" applyFont="1" applyBorder="1" applyAlignment="1">
      <alignment vertical="center"/>
    </xf>
    <xf numFmtId="171" fontId="11" fillId="0" borderId="0" xfId="3" applyNumberFormat="1" applyFont="1" applyBorder="1" applyAlignment="1">
      <alignment vertical="center"/>
    </xf>
    <xf numFmtId="10" fontId="10" fillId="0" borderId="1" xfId="0" applyNumberFormat="1" applyFont="1" applyBorder="1" applyAlignment="1">
      <alignment horizontal="center"/>
    </xf>
    <xf numFmtId="171" fontId="11" fillId="0" borderId="0" xfId="3" applyNumberFormat="1" applyFont="1" applyAlignment="1">
      <alignment vertical="center"/>
    </xf>
    <xf numFmtId="167" fontId="8" fillId="4" borderId="0" xfId="3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/>
    </xf>
    <xf numFmtId="44" fontId="26" fillId="4" borderId="0" xfId="4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4" fontId="6" fillId="4" borderId="1" xfId="0" applyNumberFormat="1" applyFont="1" applyFill="1" applyBorder="1" applyAlignment="1">
      <alignment vertical="center"/>
    </xf>
    <xf numFmtId="44" fontId="6" fillId="4" borderId="0" xfId="4" applyFont="1" applyFill="1" applyBorder="1" applyAlignment="1">
      <alignment vertical="center"/>
    </xf>
    <xf numFmtId="167" fontId="14" fillId="2" borderId="10" xfId="3" applyFont="1" applyFill="1" applyBorder="1" applyAlignment="1">
      <alignment horizontal="center" vertical="center"/>
    </xf>
    <xf numFmtId="10" fontId="8" fillId="0" borderId="13" xfId="2" applyNumberFormat="1" applyFont="1" applyBorder="1" applyAlignment="1">
      <alignment horizontal="center" vertical="center"/>
    </xf>
    <xf numFmtId="10" fontId="0" fillId="0" borderId="13" xfId="2" applyNumberFormat="1" applyFont="1" applyBorder="1" applyAlignment="1">
      <alignment horizontal="center" vertical="center"/>
    </xf>
    <xf numFmtId="9" fontId="8" fillId="0" borderId="16" xfId="2" applyFont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67" fontId="6" fillId="0" borderId="12" xfId="3" applyFont="1" applyBorder="1" applyAlignment="1">
      <alignment vertical="center"/>
    </xf>
    <xf numFmtId="167" fontId="8" fillId="0" borderId="17" xfId="3" applyFont="1" applyBorder="1" applyAlignment="1">
      <alignment vertical="center"/>
    </xf>
    <xf numFmtId="1" fontId="11" fillId="0" borderId="1" xfId="3" applyNumberFormat="1" applyFont="1" applyFill="1" applyBorder="1" applyAlignment="1">
      <alignment horizontal="center" vertical="center"/>
    </xf>
    <xf numFmtId="172" fontId="11" fillId="0" borderId="2" xfId="3" applyNumberFormat="1" applyFont="1" applyBorder="1" applyAlignment="1">
      <alignment horizontal="center" vertical="center"/>
    </xf>
    <xf numFmtId="172" fontId="11" fillId="0" borderId="1" xfId="3" applyNumberFormat="1" applyFont="1" applyFill="1" applyBorder="1" applyAlignment="1">
      <alignment horizontal="center" vertical="center"/>
    </xf>
    <xf numFmtId="172" fontId="11" fillId="0" borderId="1" xfId="3" applyNumberFormat="1" applyFont="1" applyBorder="1" applyAlignment="1">
      <alignment horizontal="center" vertical="center"/>
    </xf>
    <xf numFmtId="172" fontId="8" fillId="0" borderId="0" xfId="3" applyNumberFormat="1" applyFont="1" applyAlignment="1">
      <alignment horizontal="center" vertical="center"/>
    </xf>
    <xf numFmtId="44" fontId="8" fillId="2" borderId="7" xfId="4" applyFont="1" applyFill="1" applyBorder="1" applyAlignment="1">
      <alignment horizontal="center" vertical="center"/>
    </xf>
    <xf numFmtId="44" fontId="11" fillId="0" borderId="2" xfId="4" applyFont="1" applyBorder="1" applyAlignment="1">
      <alignment horizontal="center" vertical="center"/>
    </xf>
    <xf numFmtId="44" fontId="11" fillId="0" borderId="1" xfId="4" applyFont="1" applyBorder="1" applyAlignment="1">
      <alignment horizontal="center" vertical="center"/>
    </xf>
    <xf numFmtId="44" fontId="11" fillId="0" borderId="1" xfId="4" applyFont="1" applyFill="1" applyBorder="1" applyAlignment="1">
      <alignment horizontal="center" vertical="center"/>
    </xf>
    <xf numFmtId="44" fontId="8" fillId="0" borderId="0" xfId="4" applyFont="1" applyAlignment="1">
      <alignment horizontal="center" vertical="center"/>
    </xf>
    <xf numFmtId="44" fontId="8" fillId="0" borderId="8" xfId="4" applyFont="1" applyBorder="1" applyAlignment="1">
      <alignment horizontal="center" vertical="center"/>
    </xf>
    <xf numFmtId="44" fontId="11" fillId="3" borderId="1" xfId="4" applyFont="1" applyFill="1" applyBorder="1" applyAlignment="1">
      <alignment horizontal="center" vertical="center"/>
    </xf>
    <xf numFmtId="44" fontId="6" fillId="3" borderId="2" xfId="4" applyFont="1" applyFill="1" applyBorder="1" applyAlignment="1">
      <alignment horizontal="center" vertical="center"/>
    </xf>
    <xf numFmtId="44" fontId="6" fillId="0" borderId="1" xfId="4" applyFont="1" applyBorder="1" applyAlignment="1">
      <alignment horizontal="center" vertical="center"/>
    </xf>
    <xf numFmtId="172" fontId="6" fillId="0" borderId="3" xfId="3" applyNumberFormat="1" applyFont="1" applyBorder="1" applyAlignment="1">
      <alignment horizontal="center" vertical="center"/>
    </xf>
    <xf numFmtId="172" fontId="6" fillId="0" borderId="1" xfId="3" applyNumberFormat="1" applyFont="1" applyBorder="1" applyAlignment="1">
      <alignment horizontal="center" vertical="center"/>
    </xf>
    <xf numFmtId="1" fontId="8" fillId="3" borderId="10" xfId="3" applyNumberFormat="1" applyFont="1" applyFill="1" applyBorder="1" applyAlignment="1">
      <alignment horizontal="center" vertical="center"/>
    </xf>
    <xf numFmtId="1" fontId="8" fillId="3" borderId="46" xfId="3" applyNumberFormat="1" applyFont="1" applyFill="1" applyBorder="1" applyAlignment="1">
      <alignment horizontal="center" vertical="center"/>
    </xf>
    <xf numFmtId="1" fontId="8" fillId="3" borderId="18" xfId="3" applyNumberFormat="1" applyFont="1" applyFill="1" applyBorder="1" applyAlignment="1">
      <alignment horizontal="center" vertical="center"/>
    </xf>
    <xf numFmtId="44" fontId="8" fillId="3" borderId="18" xfId="4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7" fontId="8" fillId="0" borderId="11" xfId="3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0" fontId="8" fillId="4" borderId="4" xfId="2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167" fontId="8" fillId="0" borderId="0" xfId="3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centerContinuous" vertical="center"/>
    </xf>
    <xf numFmtId="166" fontId="8" fillId="0" borderId="0" xfId="0" applyNumberFormat="1" applyFont="1" applyBorder="1" applyAlignment="1">
      <alignment vertical="center"/>
    </xf>
    <xf numFmtId="9" fontId="8" fillId="0" borderId="0" xfId="2" applyFont="1" applyBorder="1" applyAlignment="1">
      <alignment horizontal="center" vertical="center"/>
    </xf>
    <xf numFmtId="0" fontId="29" fillId="0" borderId="0" xfId="0" applyFont="1" applyProtection="1">
      <protection locked="0"/>
    </xf>
    <xf numFmtId="164" fontId="29" fillId="0" borderId="0" xfId="0" applyNumberFormat="1" applyFont="1" applyProtection="1"/>
    <xf numFmtId="0" fontId="29" fillId="0" borderId="0" xfId="0" applyFont="1" applyAlignment="1" applyProtection="1">
      <protection locked="0"/>
    </xf>
    <xf numFmtId="164" fontId="29" fillId="0" borderId="0" xfId="0" applyNumberFormat="1" applyFont="1" applyProtection="1">
      <protection locked="0"/>
    </xf>
    <xf numFmtId="164" fontId="29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9" fontId="11" fillId="0" borderId="0" xfId="2" applyFont="1" applyAlignment="1">
      <alignment vertical="center"/>
    </xf>
    <xf numFmtId="44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vertical="center"/>
    </xf>
    <xf numFmtId="172" fontId="8" fillId="0" borderId="3" xfId="3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44" fontId="8" fillId="0" borderId="0" xfId="4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7" fontId="6" fillId="0" borderId="6" xfId="3" applyFont="1" applyBorder="1" applyAlignment="1">
      <alignment vertical="center"/>
    </xf>
    <xf numFmtId="167" fontId="6" fillId="0" borderId="7" xfId="3" applyFont="1" applyBorder="1" applyAlignment="1">
      <alignment vertical="center"/>
    </xf>
    <xf numFmtId="44" fontId="8" fillId="2" borderId="0" xfId="4" applyFont="1" applyFill="1" applyBorder="1" applyAlignment="1">
      <alignment vertical="center"/>
    </xf>
    <xf numFmtId="164" fontId="29" fillId="3" borderId="0" xfId="0" applyNumberFormat="1" applyFont="1" applyFill="1" applyProtection="1"/>
    <xf numFmtId="44" fontId="11" fillId="3" borderId="1" xfId="4" applyFont="1" applyFill="1" applyBorder="1" applyAlignment="1">
      <alignment vertical="center"/>
    </xf>
    <xf numFmtId="0" fontId="31" fillId="0" borderId="0" xfId="5" applyFont="1"/>
    <xf numFmtId="0" fontId="5" fillId="0" borderId="0" xfId="6"/>
    <xf numFmtId="0" fontId="30" fillId="0" borderId="0" xfId="6" applyFont="1"/>
    <xf numFmtId="0" fontId="30" fillId="0" borderId="1" xfId="6" applyFont="1" applyBorder="1"/>
    <xf numFmtId="0" fontId="30" fillId="0" borderId="1" xfId="6" applyFont="1" applyBorder="1" applyAlignment="1">
      <alignment horizontal="center"/>
    </xf>
    <xf numFmtId="20" fontId="30" fillId="0" borderId="1" xfId="6" applyNumberFormat="1" applyFont="1" applyBorder="1"/>
    <xf numFmtId="167" fontId="5" fillId="0" borderId="0" xfId="3" applyFont="1"/>
    <xf numFmtId="43" fontId="5" fillId="0" borderId="0" xfId="6" applyNumberFormat="1"/>
    <xf numFmtId="0" fontId="5" fillId="0" borderId="50" xfId="6" applyBorder="1"/>
    <xf numFmtId="0" fontId="5" fillId="0" borderId="8" xfId="6" applyBorder="1"/>
    <xf numFmtId="167" fontId="5" fillId="0" borderId="1" xfId="3" applyFont="1" applyBorder="1"/>
    <xf numFmtId="0" fontId="5" fillId="0" borderId="50" xfId="6" applyFont="1" applyBorder="1"/>
    <xf numFmtId="0" fontId="5" fillId="0" borderId="1" xfId="6" applyBorder="1"/>
    <xf numFmtId="0" fontId="30" fillId="0" borderId="50" xfId="6" applyFont="1" applyBorder="1"/>
    <xf numFmtId="0" fontId="30" fillId="0" borderId="8" xfId="6" applyFont="1" applyBorder="1"/>
    <xf numFmtId="167" fontId="30" fillId="0" borderId="1" xfId="3" applyFont="1" applyBorder="1"/>
    <xf numFmtId="10" fontId="30" fillId="0" borderId="1" xfId="2" applyNumberFormat="1" applyFont="1" applyBorder="1"/>
    <xf numFmtId="0" fontId="6" fillId="0" borderId="1" xfId="0" applyFont="1" applyBorder="1" applyAlignment="1">
      <alignment horizontal="center" vertical="center"/>
    </xf>
    <xf numFmtId="13" fontId="6" fillId="3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7" fontId="6" fillId="3" borderId="2" xfId="3" applyFont="1" applyFill="1" applyBorder="1" applyAlignment="1">
      <alignment horizontal="center" vertical="center"/>
    </xf>
    <xf numFmtId="167" fontId="6" fillId="0" borderId="1" xfId="3" applyFont="1" applyBorder="1" applyAlignment="1">
      <alignment horizontal="center" vertical="center"/>
    </xf>
    <xf numFmtId="167" fontId="6" fillId="0" borderId="0" xfId="3" applyFont="1" applyFill="1" applyBorder="1" applyAlignment="1">
      <alignment horizontal="center" vertical="center"/>
    </xf>
    <xf numFmtId="167" fontId="6" fillId="3" borderId="1" xfId="3" applyFont="1" applyFill="1" applyBorder="1" applyAlignment="1">
      <alignment horizontal="center" vertical="center"/>
    </xf>
    <xf numFmtId="167" fontId="8" fillId="2" borderId="4" xfId="3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7" fontId="8" fillId="0" borderId="7" xfId="3" applyFont="1" applyBorder="1" applyAlignment="1">
      <alignment vertical="center"/>
    </xf>
    <xf numFmtId="167" fontId="8" fillId="2" borderId="4" xfId="3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168" fontId="6" fillId="0" borderId="1" xfId="3" applyNumberFormat="1" applyFont="1" applyBorder="1" applyAlignment="1">
      <alignment horizontal="center" vertical="center"/>
    </xf>
    <xf numFmtId="167" fontId="6" fillId="3" borderId="0" xfId="3" applyFont="1" applyFill="1" applyAlignment="1">
      <alignment vertical="center"/>
    </xf>
    <xf numFmtId="0" fontId="6" fillId="3" borderId="0" xfId="0" applyFont="1" applyFill="1" applyAlignment="1">
      <alignment vertical="center"/>
    </xf>
    <xf numFmtId="168" fontId="6" fillId="0" borderId="1" xfId="3" applyNumberFormat="1" applyFont="1" applyBorder="1" applyAlignment="1">
      <alignment vertical="center"/>
    </xf>
    <xf numFmtId="167" fontId="6" fillId="0" borderId="2" xfId="3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right" vertical="center"/>
    </xf>
    <xf numFmtId="169" fontId="0" fillId="0" borderId="1" xfId="0" applyNumberFormat="1" applyBorder="1" applyAlignment="1">
      <alignment horizontal="right" vertical="center"/>
    </xf>
    <xf numFmtId="169" fontId="6" fillId="0" borderId="1" xfId="0" applyNumberFormat="1" applyFont="1" applyBorder="1" applyAlignment="1">
      <alignment horizontal="right" vertical="center"/>
    </xf>
    <xf numFmtId="169" fontId="8" fillId="0" borderId="34" xfId="0" applyNumberFormat="1" applyFont="1" applyBorder="1" applyAlignment="1">
      <alignment horizontal="right" vertical="center"/>
    </xf>
    <xf numFmtId="10" fontId="6" fillId="0" borderId="13" xfId="2" applyNumberFormat="1" applyFont="1" applyBorder="1" applyAlignment="1">
      <alignment horizontal="center" vertical="center"/>
    </xf>
    <xf numFmtId="44" fontId="6" fillId="0" borderId="2" xfId="4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7" fontId="6" fillId="0" borderId="0" xfId="3" applyFont="1" applyAlignment="1">
      <alignment horizontal="right" vertical="center"/>
    </xf>
    <xf numFmtId="167" fontId="6" fillId="0" borderId="1" xfId="3" applyFont="1" applyBorder="1" applyAlignment="1">
      <alignment vertical="center"/>
    </xf>
    <xf numFmtId="167" fontId="8" fillId="2" borderId="4" xfId="3" applyNumberFormat="1" applyFont="1" applyFill="1" applyBorder="1" applyAlignment="1">
      <alignment horizontal="center" vertical="center"/>
    </xf>
    <xf numFmtId="169" fontId="8" fillId="0" borderId="3" xfId="0" applyNumberFormat="1" applyFont="1" applyBorder="1" applyAlignment="1">
      <alignment horizontal="right" vertical="center"/>
    </xf>
    <xf numFmtId="168" fontId="6" fillId="0" borderId="1" xfId="3" applyNumberFormat="1" applyFont="1" applyFill="1" applyBorder="1" applyAlignment="1">
      <alignment vertical="center"/>
    </xf>
    <xf numFmtId="167" fontId="6" fillId="3" borderId="1" xfId="3" applyNumberFormat="1" applyFont="1" applyFill="1" applyBorder="1" applyAlignment="1">
      <alignment horizontal="center" vertical="center"/>
    </xf>
    <xf numFmtId="171" fontId="6" fillId="0" borderId="1" xfId="3" applyNumberFormat="1" applyFont="1" applyBorder="1" applyAlignment="1">
      <alignment vertical="center"/>
    </xf>
    <xf numFmtId="171" fontId="6" fillId="0" borderId="0" xfId="3" applyNumberFormat="1" applyFont="1" applyBorder="1" applyAlignment="1">
      <alignment vertical="center"/>
    </xf>
    <xf numFmtId="2" fontId="11" fillId="6" borderId="1" xfId="3" applyNumberFormat="1" applyFont="1" applyFill="1" applyBorder="1" applyAlignment="1">
      <alignment horizontal="center" vertical="center"/>
    </xf>
    <xf numFmtId="167" fontId="6" fillId="0" borderId="0" xfId="3" applyFont="1" applyFill="1" applyAlignment="1">
      <alignment vertical="center"/>
    </xf>
    <xf numFmtId="10" fontId="11" fillId="0" borderId="0" xfId="2" applyNumberFormat="1" applyFont="1" applyFill="1" applyAlignment="1">
      <alignment vertical="center"/>
    </xf>
    <xf numFmtId="167" fontId="11" fillId="0" borderId="0" xfId="3" applyFont="1" applyFill="1" applyAlignment="1">
      <alignment vertical="center"/>
    </xf>
    <xf numFmtId="10" fontId="12" fillId="5" borderId="7" xfId="2" applyNumberFormat="1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center"/>
    </xf>
    <xf numFmtId="172" fontId="11" fillId="3" borderId="2" xfId="3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78" fontId="33" fillId="3" borderId="2" xfId="4" applyNumberFormat="1" applyFont="1" applyFill="1" applyBorder="1" applyAlignment="1" applyProtection="1">
      <alignment horizontal="center" vertical="center"/>
    </xf>
    <xf numFmtId="178" fontId="33" fillId="0" borderId="2" xfId="4" applyNumberFormat="1" applyFont="1" applyBorder="1" applyAlignment="1" applyProtection="1">
      <alignment horizontal="center" vertical="center"/>
    </xf>
    <xf numFmtId="167" fontId="6" fillId="0" borderId="0" xfId="3" applyNumberFormat="1" applyFont="1" applyAlignment="1">
      <alignment vertical="center"/>
    </xf>
    <xf numFmtId="0" fontId="34" fillId="0" borderId="0" xfId="1" applyFont="1" applyAlignment="1" applyProtection="1">
      <alignment vertical="center"/>
    </xf>
    <xf numFmtId="0" fontId="35" fillId="11" borderId="5" xfId="0" applyFont="1" applyFill="1" applyBorder="1" applyAlignment="1">
      <alignment vertical="center"/>
    </xf>
    <xf numFmtId="0" fontId="36" fillId="11" borderId="6" xfId="0" applyFont="1" applyFill="1" applyBorder="1" applyAlignment="1">
      <alignment vertical="center"/>
    </xf>
    <xf numFmtId="176" fontId="36" fillId="11" borderId="6" xfId="3" applyNumberFormat="1" applyFont="1" applyFill="1" applyBorder="1" applyAlignment="1" applyProtection="1">
      <alignment vertical="center"/>
    </xf>
    <xf numFmtId="176" fontId="36" fillId="11" borderId="7" xfId="3" applyNumberFormat="1" applyFont="1" applyFill="1" applyBorder="1" applyAlignment="1" applyProtection="1">
      <alignment vertical="center"/>
    </xf>
    <xf numFmtId="178" fontId="35" fillId="11" borderId="4" xfId="4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center" vertical="center"/>
    </xf>
    <xf numFmtId="44" fontId="6" fillId="3" borderId="2" xfId="4" applyNumberFormat="1" applyFont="1" applyFill="1" applyBorder="1" applyAlignment="1">
      <alignment horizontal="center" vertical="center"/>
    </xf>
    <xf numFmtId="44" fontId="6" fillId="0" borderId="2" xfId="4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4" fontId="6" fillId="0" borderId="1" xfId="4" applyNumberFormat="1" applyFont="1" applyFill="1" applyBorder="1" applyAlignment="1">
      <alignment horizontal="center" vertical="center"/>
    </xf>
    <xf numFmtId="44" fontId="6" fillId="0" borderId="1" xfId="4" applyNumberFormat="1" applyFont="1" applyBorder="1" applyAlignment="1">
      <alignment horizontal="center" vertical="center"/>
    </xf>
    <xf numFmtId="167" fontId="6" fillId="0" borderId="0" xfId="3" applyNumberFormat="1" applyFont="1" applyAlignment="1">
      <alignment horizontal="center" vertical="center"/>
    </xf>
    <xf numFmtId="2" fontId="6" fillId="6" borderId="1" xfId="3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4" fontId="6" fillId="0" borderId="3" xfId="4" applyNumberFormat="1" applyFont="1" applyBorder="1" applyAlignment="1">
      <alignment horizontal="center" vertical="center"/>
    </xf>
    <xf numFmtId="44" fontId="8" fillId="0" borderId="3" xfId="4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 applyProtection="1">
      <alignment horizontal="center" vertical="center"/>
    </xf>
    <xf numFmtId="176" fontId="33" fillId="3" borderId="2" xfId="3" applyNumberFormat="1" applyFont="1" applyFill="1" applyBorder="1" applyAlignment="1" applyProtection="1">
      <alignment horizontal="center" vertical="center"/>
    </xf>
    <xf numFmtId="176" fontId="8" fillId="0" borderId="2" xfId="3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7" fontId="6" fillId="0" borderId="0" xfId="3" applyNumberFormat="1" applyFont="1" applyAlignment="1">
      <alignment horizontal="right" vertical="center"/>
    </xf>
    <xf numFmtId="167" fontId="6" fillId="0" borderId="1" xfId="3" applyNumberFormat="1" applyFont="1" applyBorder="1" applyAlignment="1">
      <alignment vertical="center"/>
    </xf>
    <xf numFmtId="0" fontId="30" fillId="0" borderId="0" xfId="6" applyFont="1" applyBorder="1"/>
    <xf numFmtId="20" fontId="30" fillId="0" borderId="0" xfId="6" applyNumberFormat="1" applyFont="1" applyBorder="1"/>
    <xf numFmtId="0" fontId="30" fillId="0" borderId="0" xfId="6" applyFont="1" applyBorder="1" applyAlignment="1">
      <alignment horizontal="left"/>
    </xf>
    <xf numFmtId="164" fontId="8" fillId="3" borderId="46" xfId="4" applyNumberFormat="1" applyFont="1" applyFill="1" applyBorder="1" applyAlignment="1">
      <alignment horizontal="center" vertical="center"/>
    </xf>
    <xf numFmtId="167" fontId="8" fillId="0" borderId="12" xfId="3" applyFont="1" applyBorder="1" applyAlignment="1">
      <alignment horizontal="left" vertical="center"/>
    </xf>
    <xf numFmtId="167" fontId="8" fillId="0" borderId="8" xfId="3" applyFont="1" applyBorder="1" applyAlignment="1">
      <alignment horizontal="left" vertical="center"/>
    </xf>
    <xf numFmtId="167" fontId="5" fillId="0" borderId="1" xfId="3" applyNumberFormat="1" applyFont="1" applyBorder="1"/>
    <xf numFmtId="175" fontId="2" fillId="0" borderId="0" xfId="6" applyNumberFormat="1" applyFont="1"/>
    <xf numFmtId="179" fontId="5" fillId="0" borderId="0" xfId="6" applyNumberFormat="1"/>
    <xf numFmtId="0" fontId="1" fillId="0" borderId="0" xfId="6" applyFont="1"/>
    <xf numFmtId="0" fontId="6" fillId="0" borderId="0" xfId="0" applyFont="1" applyFill="1" applyAlignment="1">
      <alignment vertical="center"/>
    </xf>
    <xf numFmtId="44" fontId="11" fillId="0" borderId="1" xfId="4" applyFont="1" applyFill="1" applyBorder="1" applyAlignment="1">
      <alignment vertical="center"/>
    </xf>
    <xf numFmtId="168" fontId="11" fillId="0" borderId="1" xfId="3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26" fillId="10" borderId="5" xfId="0" applyFont="1" applyFill="1" applyBorder="1" applyAlignment="1">
      <alignment horizontal="left" vertical="center"/>
    </xf>
    <xf numFmtId="0" fontId="26" fillId="10" borderId="6" xfId="0" applyFont="1" applyFill="1" applyBorder="1" applyAlignment="1">
      <alignment horizontal="left" vertical="center"/>
    </xf>
    <xf numFmtId="0" fontId="26" fillId="10" borderId="7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justify"/>
    </xf>
    <xf numFmtId="0" fontId="16" fillId="7" borderId="24" xfId="0" applyFont="1" applyFill="1" applyBorder="1" applyAlignment="1">
      <alignment horizontal="center" vertical="justify"/>
    </xf>
    <xf numFmtId="0" fontId="16" fillId="7" borderId="25" xfId="0" applyFont="1" applyFill="1" applyBorder="1" applyAlignment="1">
      <alignment horizontal="center" vertical="justify"/>
    </xf>
    <xf numFmtId="0" fontId="16" fillId="7" borderId="36" xfId="0" applyFont="1" applyFill="1" applyBorder="1" applyAlignment="1">
      <alignment horizontal="center" vertical="justify"/>
    </xf>
    <xf numFmtId="0" fontId="16" fillId="7" borderId="0" xfId="0" applyFont="1" applyFill="1" applyBorder="1" applyAlignment="1">
      <alignment horizontal="center" vertical="justify"/>
    </xf>
    <xf numFmtId="0" fontId="16" fillId="7" borderId="37" xfId="0" applyFont="1" applyFill="1" applyBorder="1" applyAlignment="1">
      <alignment horizontal="center" vertical="justify"/>
    </xf>
    <xf numFmtId="0" fontId="12" fillId="7" borderId="40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167" fontId="9" fillId="7" borderId="5" xfId="3" applyFont="1" applyFill="1" applyBorder="1" applyAlignment="1">
      <alignment horizontal="center" vertical="center"/>
    </xf>
    <xf numFmtId="167" fontId="9" fillId="7" borderId="6" xfId="3" applyFont="1" applyFill="1" applyBorder="1" applyAlignment="1">
      <alignment horizontal="center" vertical="center"/>
    </xf>
    <xf numFmtId="167" fontId="9" fillId="7" borderId="7" xfId="3" applyFont="1" applyFill="1" applyBorder="1" applyAlignment="1">
      <alignment horizontal="center" vertical="center"/>
    </xf>
    <xf numFmtId="167" fontId="8" fillId="0" borderId="12" xfId="3" applyFont="1" applyBorder="1" applyAlignment="1">
      <alignment horizontal="left" vertical="center"/>
    </xf>
    <xf numFmtId="167" fontId="8" fillId="0" borderId="8" xfId="3" applyFont="1" applyBorder="1" applyAlignment="1">
      <alignment horizontal="left" vertical="center"/>
    </xf>
    <xf numFmtId="167" fontId="8" fillId="0" borderId="5" xfId="3" applyFont="1" applyBorder="1" applyAlignment="1">
      <alignment horizontal="center" vertical="center"/>
    </xf>
    <xf numFmtId="167" fontId="8" fillId="0" borderId="6" xfId="3" applyFont="1" applyBorder="1" applyAlignment="1">
      <alignment horizontal="center" vertical="center"/>
    </xf>
    <xf numFmtId="167" fontId="8" fillId="0" borderId="39" xfId="3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justify" wrapText="1"/>
    </xf>
    <xf numFmtId="0" fontId="7" fillId="0" borderId="0" xfId="0" applyFont="1" applyAlignment="1">
      <alignment horizontal="left" vertical="justify"/>
    </xf>
    <xf numFmtId="0" fontId="7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/>
    </xf>
    <xf numFmtId="0" fontId="16" fillId="9" borderId="42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9" fontId="12" fillId="0" borderId="19" xfId="2" applyFont="1" applyBorder="1" applyAlignment="1">
      <alignment horizontal="center"/>
    </xf>
    <xf numFmtId="9" fontId="12" fillId="0" borderId="20" xfId="2" applyFont="1" applyBorder="1" applyAlignment="1">
      <alignment horizontal="center"/>
    </xf>
    <xf numFmtId="9" fontId="12" fillId="0" borderId="10" xfId="2" applyFont="1" applyBorder="1" applyAlignment="1">
      <alignment horizontal="center"/>
    </xf>
    <xf numFmtId="0" fontId="9" fillId="9" borderId="23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</cellXfs>
  <cellStyles count="42">
    <cellStyle name="Hiperlink" xfId="1" builtinId="8"/>
    <cellStyle name="Moeda" xfId="4" builtinId="4"/>
    <cellStyle name="Moeda 2" xfId="7"/>
    <cellStyle name="Moeda 3" xf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39"/>
    <cellStyle name="Normal 16 2" xfId="41"/>
    <cellStyle name="Normal 2" xfId="15"/>
    <cellStyle name="Normal 2 2" xfId="16"/>
    <cellStyle name="Normal 2 3" xfId="6"/>
    <cellStyle name="Normal 3" xfId="17"/>
    <cellStyle name="Normal 4" xfId="18"/>
    <cellStyle name="Normal 5" xfId="19"/>
    <cellStyle name="Normal 6" xfId="5"/>
    <cellStyle name="Normal 6 2" xfId="40"/>
    <cellStyle name="Normal 7" xfId="20"/>
    <cellStyle name="Normal 8" xfId="21"/>
    <cellStyle name="Normal 9" xfId="22"/>
    <cellStyle name="Porcentagem" xfId="2" builtinId="5"/>
    <cellStyle name="Porcentagem 2" xfId="23"/>
    <cellStyle name="Porcentagem 3" xfId="24"/>
    <cellStyle name="Separador de milhares 10" xfId="25"/>
    <cellStyle name="Separador de milhares 11" xfId="26"/>
    <cellStyle name="Separador de milhares 12" xfId="27"/>
    <cellStyle name="Separador de milhares 13" xfId="28"/>
    <cellStyle name="Separador de milhares 14" xfId="29"/>
    <cellStyle name="Separador de milhares 2" xfId="30"/>
    <cellStyle name="Separador de milhares 3" xfId="31"/>
    <cellStyle name="Separador de milhares 4" xfId="32"/>
    <cellStyle name="Separador de milhares 5" xfId="33"/>
    <cellStyle name="Separador de milhares 6" xfId="34"/>
    <cellStyle name="Separador de milhares 7" xfId="35"/>
    <cellStyle name="Separador de milhares 8" xfId="36"/>
    <cellStyle name="Separador de milhares 9" xfId="37"/>
    <cellStyle name="Vírgula" xfId="3" builtinId="3"/>
    <cellStyle name="Vírgula 2" xfId="38"/>
  </cellStyles>
  <dxfs count="0"/>
  <tableStyles count="0" defaultTableStyle="TableStyleMedium2" defaultPivotStyle="PivotStyleLight16"/>
  <colors>
    <mruColors>
      <color rgb="FFD438C1"/>
      <color rgb="FFFD11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4"/>
  <sheetViews>
    <sheetView tabSelected="1" zoomScale="98" zoomScaleNormal="98" zoomScaleSheetLayoutView="100" workbookViewId="0">
      <pane ySplit="1" topLeftCell="A122" activePane="bottomLeft" state="frozen"/>
      <selection activeCell="C129" sqref="C129"/>
      <selection pane="bottomLeft" sqref="A1:F1"/>
    </sheetView>
  </sheetViews>
  <sheetFormatPr defaultColWidth="9.140625" defaultRowHeight="12.75" x14ac:dyDescent="0.2"/>
  <cols>
    <col min="1" max="1" width="49.42578125" style="6" customWidth="1"/>
    <col min="2" max="2" width="16" style="6" bestFit="1" customWidth="1"/>
    <col min="3" max="3" width="14.5703125" style="6" customWidth="1"/>
    <col min="4" max="4" width="14.7109375" style="7" customWidth="1"/>
    <col min="5" max="5" width="15.42578125" style="7" customWidth="1"/>
    <col min="6" max="6" width="15" style="7" customWidth="1"/>
    <col min="7" max="7" width="28.140625" style="7" customWidth="1"/>
    <col min="8" max="8" width="23.85546875" style="6" hidden="1" customWidth="1"/>
    <col min="9" max="9" width="14.5703125" style="6" customWidth="1"/>
    <col min="10" max="10" width="13.42578125" style="6" customWidth="1"/>
    <col min="11" max="11" width="10.5703125" style="6" bestFit="1" customWidth="1"/>
    <col min="12" max="16384" width="9.140625" style="6"/>
  </cols>
  <sheetData>
    <row r="1" spans="1:7" s="2" customFormat="1" ht="21.75" customHeight="1" thickBot="1" x14ac:dyDescent="0.25">
      <c r="A1" s="367" t="s">
        <v>131</v>
      </c>
      <c r="B1" s="367"/>
      <c r="C1" s="367"/>
      <c r="D1" s="367"/>
      <c r="E1" s="367"/>
      <c r="F1" s="367"/>
      <c r="G1" s="3"/>
    </row>
    <row r="2" spans="1:7" s="5" customFormat="1" ht="15" customHeight="1" x14ac:dyDescent="0.2">
      <c r="A2" s="368" t="s">
        <v>233</v>
      </c>
      <c r="B2" s="369"/>
      <c r="C2" s="369"/>
      <c r="D2" s="369"/>
      <c r="E2" s="369"/>
      <c r="F2" s="370"/>
      <c r="G2" s="22"/>
    </row>
    <row r="3" spans="1:7" s="5" customFormat="1" ht="11.45" customHeight="1" x14ac:dyDescent="0.2">
      <c r="A3" s="371"/>
      <c r="B3" s="372"/>
      <c r="C3" s="372"/>
      <c r="D3" s="372"/>
      <c r="E3" s="372"/>
      <c r="F3" s="373"/>
      <c r="G3" s="22"/>
    </row>
    <row r="4" spans="1:7" s="5" customFormat="1" ht="21.75" customHeight="1" x14ac:dyDescent="0.2">
      <c r="A4" s="374" t="s">
        <v>15</v>
      </c>
      <c r="B4" s="375"/>
      <c r="C4" s="375"/>
      <c r="D4" s="375"/>
      <c r="E4" s="375"/>
      <c r="F4" s="376"/>
      <c r="G4" s="22"/>
    </row>
    <row r="5" spans="1:7" s="2" customFormat="1" ht="10.9" customHeight="1" thickBot="1" x14ac:dyDescent="0.25">
      <c r="A5" s="71"/>
      <c r="B5" s="72"/>
      <c r="C5" s="72"/>
      <c r="D5" s="73"/>
      <c r="E5" s="73"/>
      <c r="F5" s="74"/>
      <c r="G5" s="3"/>
    </row>
    <row r="6" spans="1:7" s="2" customFormat="1" ht="15.75" customHeight="1" thickBot="1" x14ac:dyDescent="0.25">
      <c r="A6" s="377" t="s">
        <v>110</v>
      </c>
      <c r="B6" s="378"/>
      <c r="C6" s="378"/>
      <c r="D6" s="378"/>
      <c r="E6" s="378"/>
      <c r="F6" s="379"/>
      <c r="G6" s="3"/>
    </row>
    <row r="7" spans="1:7" s="2" customFormat="1" ht="15.75" customHeight="1" x14ac:dyDescent="0.2">
      <c r="A7" s="40" t="s">
        <v>109</v>
      </c>
      <c r="B7" s="23"/>
      <c r="C7" s="23"/>
      <c r="D7" s="159"/>
      <c r="E7" s="56" t="s">
        <v>10</v>
      </c>
      <c r="F7" s="24" t="s">
        <v>1</v>
      </c>
      <c r="G7" s="3"/>
    </row>
    <row r="8" spans="1:7" s="8" customFormat="1" ht="15.75" customHeight="1" x14ac:dyDescent="0.2">
      <c r="A8" s="61" t="str">
        <f>A42</f>
        <v>1. Mão-de-obra</v>
      </c>
      <c r="B8" s="62"/>
      <c r="C8" s="63"/>
      <c r="D8" s="63"/>
      <c r="E8" s="288">
        <f>+F102</f>
        <v>220925.88483101426</v>
      </c>
      <c r="F8" s="196">
        <f t="shared" ref="F8:F20" si="0">IFERROR(E8/$E$21,0)</f>
        <v>0.8053874987537698</v>
      </c>
      <c r="G8" s="27"/>
    </row>
    <row r="9" spans="1:7" s="2" customFormat="1" ht="15.75" customHeight="1" x14ac:dyDescent="0.2">
      <c r="A9" s="30" t="str">
        <f>A43</f>
        <v>1.1. Categoria Profissional Prestador de Serviços de Auxiliar de Limpeza</v>
      </c>
      <c r="B9" s="28"/>
      <c r="C9" s="29"/>
      <c r="D9" s="29"/>
      <c r="E9" s="289">
        <f>F51</f>
        <v>184571.56222199998</v>
      </c>
      <c r="F9" s="197">
        <f t="shared" si="0"/>
        <v>0.67285745603216962</v>
      </c>
      <c r="G9" s="3"/>
    </row>
    <row r="10" spans="1:7" s="2" customFormat="1" ht="15.75" customHeight="1" x14ac:dyDescent="0.2">
      <c r="A10" s="30" t="str">
        <f>A53</f>
        <v xml:space="preserve">1.2. Assistente Administrativo </v>
      </c>
      <c r="B10" s="28"/>
      <c r="C10" s="29"/>
      <c r="D10" s="29"/>
      <c r="E10" s="289">
        <f>F61</f>
        <v>2654.1747233000001</v>
      </c>
      <c r="F10" s="197">
        <f t="shared" si="0"/>
        <v>9.6758202113307896E-3</v>
      </c>
      <c r="G10" s="3"/>
    </row>
    <row r="11" spans="1:7" s="2" customFormat="1" ht="15.75" customHeight="1" x14ac:dyDescent="0.2">
      <c r="A11" s="30" t="str">
        <f>A63</f>
        <v xml:space="preserve">1.3. Supervisor/Encarregado </v>
      </c>
      <c r="B11" s="28"/>
      <c r="C11" s="29"/>
      <c r="D11" s="29"/>
      <c r="E11" s="289">
        <f>F71</f>
        <v>4337.5742857142859</v>
      </c>
      <c r="F11" s="197">
        <f t="shared" si="0"/>
        <v>1.5812669969850812E-2</v>
      </c>
      <c r="G11" s="3"/>
    </row>
    <row r="12" spans="1:7" s="2" customFormat="1" ht="15.75" customHeight="1" x14ac:dyDescent="0.2">
      <c r="A12" s="30" t="str">
        <f>A73</f>
        <v>1.4. Vale Transporte</v>
      </c>
      <c r="B12" s="28"/>
      <c r="C12" s="29"/>
      <c r="D12" s="29"/>
      <c r="E12" s="289">
        <f>F79</f>
        <v>1615.0950000000009</v>
      </c>
      <c r="F12" s="197">
        <f t="shared" si="0"/>
        <v>5.8878448005071126E-3</v>
      </c>
      <c r="G12" s="3"/>
    </row>
    <row r="13" spans="1:7" s="2" customFormat="1" ht="15.75" customHeight="1" x14ac:dyDescent="0.2">
      <c r="A13" s="30" t="str">
        <f>A81</f>
        <v xml:space="preserve">1.5. Auxílio Refeição </v>
      </c>
      <c r="B13" s="28"/>
      <c r="C13" s="29"/>
      <c r="D13" s="29"/>
      <c r="E13" s="289">
        <f>F85</f>
        <v>26431.158600000002</v>
      </c>
      <c r="F13" s="197">
        <f t="shared" si="0"/>
        <v>9.6355050157661798E-2</v>
      </c>
      <c r="G13" s="3"/>
    </row>
    <row r="14" spans="1:7" s="2" customFormat="1" ht="15.75" hidden="1" customHeight="1" x14ac:dyDescent="0.2">
      <c r="A14" s="30" t="str">
        <f>A90</f>
        <v>1.5. Auxílio Alimentação (mensal)</v>
      </c>
      <c r="B14" s="28"/>
      <c r="C14" s="29"/>
      <c r="D14" s="29"/>
      <c r="E14" s="289">
        <f>F94</f>
        <v>0</v>
      </c>
      <c r="F14" s="197">
        <f>IFERROR(E14/$E$21,0)</f>
        <v>0</v>
      </c>
      <c r="G14" s="3"/>
    </row>
    <row r="15" spans="1:7" s="2" customFormat="1" ht="15.75" customHeight="1" x14ac:dyDescent="0.2">
      <c r="A15" s="30" t="str">
        <f>A96</f>
        <v xml:space="preserve">1.6. Plano de Benefício Social  </v>
      </c>
      <c r="B15" s="28"/>
      <c r="C15" s="29"/>
      <c r="D15" s="29"/>
      <c r="E15" s="289">
        <f>F100</f>
        <v>1316.32</v>
      </c>
      <c r="F15" s="197">
        <f>IFERROR(E15/$E$21,0)</f>
        <v>4.7986575822496621E-3</v>
      </c>
      <c r="G15" s="3"/>
    </row>
    <row r="16" spans="1:7" s="8" customFormat="1" ht="15.75" customHeight="1" x14ac:dyDescent="0.2">
      <c r="A16" s="380" t="str">
        <f>A108</f>
        <v>2. Uniformes e Equipamentos de Proteção Individual</v>
      </c>
      <c r="B16" s="381"/>
      <c r="C16" s="381"/>
      <c r="D16" s="63"/>
      <c r="E16" s="288">
        <f>+F121</f>
        <v>3417.3068999999991</v>
      </c>
      <c r="F16" s="196">
        <f t="shared" si="0"/>
        <v>1.2457826111096909E-2</v>
      </c>
      <c r="G16" s="27"/>
    </row>
    <row r="17" spans="1:9" s="8" customFormat="1" ht="15.75" customHeight="1" x14ac:dyDescent="0.2">
      <c r="A17" s="41" t="str">
        <f>A109</f>
        <v>2.1. Uniformes e EPIs</v>
      </c>
      <c r="B17" s="355"/>
      <c r="C17" s="355"/>
      <c r="D17" s="63"/>
      <c r="E17" s="290">
        <f>F119</f>
        <v>3417.3068999999991</v>
      </c>
      <c r="F17" s="292">
        <f t="shared" si="0"/>
        <v>1.2457826111096909E-2</v>
      </c>
      <c r="G17" s="27"/>
    </row>
    <row r="18" spans="1:9" s="8" customFormat="1" ht="15.75" hidden="1" customHeight="1" x14ac:dyDescent="0.2">
      <c r="A18" s="354" t="str">
        <f>A123</f>
        <v xml:space="preserve">3. Equipamentos/ferramentas </v>
      </c>
      <c r="B18" s="64"/>
      <c r="C18" s="63"/>
      <c r="D18" s="63"/>
      <c r="E18" s="288">
        <f>F144</f>
        <v>0</v>
      </c>
      <c r="F18" s="196">
        <f t="shared" si="0"/>
        <v>0</v>
      </c>
      <c r="G18" s="27"/>
    </row>
    <row r="19" spans="1:9" s="8" customFormat="1" ht="15.75" customHeight="1" x14ac:dyDescent="0.2">
      <c r="A19" s="354" t="str">
        <f>A146</f>
        <v xml:space="preserve">3. Administração Local/Veículo de Apoio </v>
      </c>
      <c r="B19" s="355"/>
      <c r="C19" s="355"/>
      <c r="D19" s="63"/>
      <c r="E19" s="300">
        <f>F152</f>
        <v>3508</v>
      </c>
      <c r="F19" s="196">
        <f t="shared" si="0"/>
        <v>1.2788448704366578E-2</v>
      </c>
      <c r="G19" s="27"/>
    </row>
    <row r="20" spans="1:9" s="8" customFormat="1" ht="15.75" customHeight="1" thickBot="1" x14ac:dyDescent="0.25">
      <c r="A20" s="354" t="str">
        <f>A157</f>
        <v>4. Benefícios e Despesas Indiretas</v>
      </c>
      <c r="B20" s="64"/>
      <c r="C20" s="63"/>
      <c r="D20" s="63"/>
      <c r="E20" s="291">
        <f>F161</f>
        <v>46458.85799395381</v>
      </c>
      <c r="F20" s="196">
        <f t="shared" si="0"/>
        <v>0.16936622643076668</v>
      </c>
      <c r="G20" s="27"/>
    </row>
    <row r="21" spans="1:9" s="2" customFormat="1" ht="15.75" customHeight="1" thickBot="1" x14ac:dyDescent="0.25">
      <c r="A21" s="25" t="s">
        <v>147</v>
      </c>
      <c r="B21" s="26"/>
      <c r="C21" s="15"/>
      <c r="D21" s="15"/>
      <c r="E21" s="55">
        <f>E8+E16+E20+E18+E19</f>
        <v>274310.04972496809</v>
      </c>
      <c r="F21" s="198">
        <f>F8+F16+F20+F18+F19</f>
        <v>1</v>
      </c>
      <c r="G21" s="3"/>
    </row>
    <row r="22" spans="1:9" s="2" customFormat="1" ht="15.75" customHeight="1" x14ac:dyDescent="0.2">
      <c r="A22" s="227"/>
      <c r="B22" s="228"/>
      <c r="C22" s="21"/>
      <c r="D22" s="21"/>
      <c r="E22" s="229"/>
      <c r="F22" s="230"/>
      <c r="G22" s="3"/>
    </row>
    <row r="23" spans="1:9" s="2" customFormat="1" ht="15.75" customHeight="1" x14ac:dyDescent="0.25">
      <c r="A23" s="236" t="s">
        <v>228</v>
      </c>
      <c r="B23" s="236"/>
      <c r="C23" s="21"/>
      <c r="D23" s="21"/>
      <c r="E23" s="229"/>
      <c r="F23" s="230"/>
      <c r="G23" s="3"/>
    </row>
    <row r="24" spans="1:9" s="2" customFormat="1" ht="15.75" customHeight="1" x14ac:dyDescent="0.25">
      <c r="A24" s="236" t="s">
        <v>229</v>
      </c>
      <c r="C24" s="21"/>
      <c r="D24" s="21"/>
      <c r="E24" s="229"/>
      <c r="F24" s="230"/>
      <c r="G24" s="3"/>
    </row>
    <row r="25" spans="1:9" s="2" customFormat="1" ht="15.75" hidden="1" customHeight="1" x14ac:dyDescent="0.25">
      <c r="A25" s="231"/>
      <c r="B25" s="236"/>
      <c r="C25" s="21"/>
      <c r="D25" s="21"/>
      <c r="E25" s="229"/>
      <c r="F25" s="230"/>
      <c r="G25" s="3"/>
    </row>
    <row r="26" spans="1:9" s="2" customFormat="1" ht="15.75" customHeight="1" x14ac:dyDescent="0.2">
      <c r="A26" s="231"/>
      <c r="B26" s="231"/>
      <c r="C26" s="232"/>
      <c r="D26" s="231"/>
      <c r="E26" s="231"/>
      <c r="G26" s="231"/>
      <c r="H26" s="233"/>
      <c r="I26" s="233"/>
    </row>
    <row r="27" spans="1:9" s="2" customFormat="1" ht="15.75" customHeight="1" x14ac:dyDescent="0.2">
      <c r="A27" s="231" t="s">
        <v>217</v>
      </c>
      <c r="B27" s="231"/>
      <c r="C27" s="249">
        <v>1314.09</v>
      </c>
      <c r="D27" s="231"/>
      <c r="E27" s="231"/>
      <c r="G27" s="231"/>
      <c r="H27" s="234">
        <f>C27/220</f>
        <v>5.973136363636363</v>
      </c>
      <c r="I27" s="235"/>
    </row>
    <row r="28" spans="1:9" ht="13.5" thickBot="1" x14ac:dyDescent="0.25"/>
    <row r="29" spans="1:9" s="2" customFormat="1" ht="15" customHeight="1" thickBot="1" x14ac:dyDescent="0.25">
      <c r="A29" s="377" t="s">
        <v>38</v>
      </c>
      <c r="B29" s="378"/>
      <c r="C29" s="378"/>
      <c r="D29" s="378"/>
      <c r="E29" s="379"/>
      <c r="F29" s="7"/>
      <c r="G29" s="3"/>
    </row>
    <row r="30" spans="1:9" s="2" customFormat="1" ht="15" customHeight="1" thickBot="1" x14ac:dyDescent="0.25">
      <c r="A30" s="382" t="s">
        <v>11</v>
      </c>
      <c r="B30" s="383"/>
      <c r="C30" s="383"/>
      <c r="D30" s="384"/>
      <c r="E30" s="223" t="s">
        <v>12</v>
      </c>
      <c r="F30" s="7"/>
      <c r="G30" s="3"/>
    </row>
    <row r="31" spans="1:9" s="2" customFormat="1" ht="15" customHeight="1" x14ac:dyDescent="0.2">
      <c r="A31" s="201" t="str">
        <f>+A43</f>
        <v>1.1. Categoria Profissional Prestador de Serviços de Auxiliar de Limpeza</v>
      </c>
      <c r="B31" s="46"/>
      <c r="C31" s="46"/>
      <c r="D31" s="47"/>
      <c r="E31" s="218">
        <v>75</v>
      </c>
      <c r="F31" s="7"/>
      <c r="G31" s="3"/>
    </row>
    <row r="32" spans="1:9" s="2" customFormat="1" ht="15" customHeight="1" x14ac:dyDescent="0.2">
      <c r="A32" s="172" t="s">
        <v>216</v>
      </c>
      <c r="B32" s="170"/>
      <c r="C32" s="170"/>
      <c r="D32" s="171"/>
      <c r="E32" s="353">
        <f>C27</f>
        <v>1314.09</v>
      </c>
      <c r="F32" s="7"/>
      <c r="G32" s="3"/>
    </row>
    <row r="33" spans="1:9" s="2" customFormat="1" ht="15" customHeight="1" x14ac:dyDescent="0.2">
      <c r="A33" s="172" t="s">
        <v>0</v>
      </c>
      <c r="B33" s="170"/>
      <c r="C33" s="170"/>
      <c r="D33" s="171"/>
      <c r="E33" s="219">
        <v>20</v>
      </c>
      <c r="F33" s="7"/>
      <c r="G33" s="3"/>
    </row>
    <row r="34" spans="1:9" s="2" customFormat="1" ht="15" customHeight="1" x14ac:dyDescent="0.2">
      <c r="A34" s="172" t="s">
        <v>154</v>
      </c>
      <c r="B34" s="170"/>
      <c r="C34" s="170"/>
      <c r="D34" s="171"/>
      <c r="E34" s="219">
        <f>'5 Horários'!F16</f>
        <v>200</v>
      </c>
      <c r="F34" s="7"/>
    </row>
    <row r="35" spans="1:9" s="2" customFormat="1" ht="15" hidden="1" customHeight="1" x14ac:dyDescent="0.2">
      <c r="A35" s="61" t="str">
        <f>+A53</f>
        <v xml:space="preserve">1.2. Assistente Administrativo </v>
      </c>
      <c r="B35" s="42"/>
      <c r="C35" s="42"/>
      <c r="D35" s="48"/>
      <c r="E35" s="220">
        <v>0</v>
      </c>
      <c r="F35" s="7"/>
    </row>
    <row r="36" spans="1:9" s="2" customFormat="1" ht="15" hidden="1" customHeight="1" x14ac:dyDescent="0.2">
      <c r="A36" s="172" t="s">
        <v>155</v>
      </c>
      <c r="B36" s="42"/>
      <c r="C36" s="42"/>
      <c r="D36" s="48"/>
      <c r="E36" s="221">
        <f>1354.21*1.0456</f>
        <v>1415.961976</v>
      </c>
      <c r="F36" s="7"/>
    </row>
    <row r="37" spans="1:9" s="2" customFormat="1" ht="15" hidden="1" customHeight="1" x14ac:dyDescent="0.2">
      <c r="A37" s="200" t="s">
        <v>148</v>
      </c>
      <c r="B37" s="42"/>
      <c r="C37" s="42"/>
      <c r="D37" s="48"/>
      <c r="E37" s="220">
        <v>200</v>
      </c>
      <c r="F37" s="7"/>
      <c r="G37" s="3"/>
    </row>
    <row r="38" spans="1:9" s="2" customFormat="1" ht="15" customHeight="1" thickBot="1" x14ac:dyDescent="0.25">
      <c r="A38" s="44" t="s">
        <v>19</v>
      </c>
      <c r="B38" s="45"/>
      <c r="C38" s="45"/>
      <c r="D38" s="49"/>
      <c r="E38" s="50">
        <f>E31+E35</f>
        <v>75</v>
      </c>
      <c r="F38" s="7"/>
      <c r="G38" s="3"/>
    </row>
    <row r="39" spans="1:9" s="2" customFormat="1" ht="13.5" thickBot="1" x14ac:dyDescent="0.25">
      <c r="A39" s="35"/>
      <c r="B39" s="35"/>
      <c r="C39" s="35"/>
      <c r="D39" s="32"/>
      <c r="E39" s="43"/>
      <c r="F39" s="6"/>
      <c r="G39" s="3"/>
    </row>
    <row r="40" spans="1:9" s="8" customFormat="1" ht="15.75" customHeight="1" thickBot="1" x14ac:dyDescent="0.25">
      <c r="A40" s="160" t="s">
        <v>108</v>
      </c>
      <c r="B40" s="225">
        <f>(E34/220)</f>
        <v>0.90909090909090906</v>
      </c>
      <c r="C40" s="21"/>
      <c r="D40" s="20"/>
      <c r="E40" s="75"/>
      <c r="G40" s="27"/>
    </row>
    <row r="41" spans="1:9" s="2" customFormat="1" ht="15.75" customHeight="1" x14ac:dyDescent="0.2">
      <c r="A41" s="35"/>
      <c r="B41" s="35"/>
      <c r="C41" s="35"/>
      <c r="D41" s="32"/>
      <c r="E41" s="43"/>
      <c r="F41" s="6"/>
      <c r="G41" s="3"/>
    </row>
    <row r="42" spans="1:9" ht="13.15" customHeight="1" x14ac:dyDescent="0.2">
      <c r="A42" s="8" t="s">
        <v>17</v>
      </c>
    </row>
    <row r="43" spans="1:9" ht="13.9" customHeight="1" thickBot="1" x14ac:dyDescent="0.25">
      <c r="A43" s="385" t="s">
        <v>230</v>
      </c>
      <c r="B43" s="385"/>
      <c r="C43" s="385"/>
      <c r="D43" s="385"/>
      <c r="E43" s="385"/>
      <c r="F43" s="385"/>
    </row>
    <row r="44" spans="1:9" ht="13.9" customHeight="1" thickBot="1" x14ac:dyDescent="0.25">
      <c r="A44" s="36" t="s">
        <v>20</v>
      </c>
      <c r="B44" s="37" t="s">
        <v>21</v>
      </c>
      <c r="C44" s="37" t="s">
        <v>12</v>
      </c>
      <c r="D44" s="38" t="s">
        <v>120</v>
      </c>
      <c r="E44" s="38" t="s">
        <v>22</v>
      </c>
      <c r="F44" s="39" t="s">
        <v>23</v>
      </c>
    </row>
    <row r="45" spans="1:9" ht="13.15" customHeight="1" x14ac:dyDescent="0.2">
      <c r="A45" s="169" t="s">
        <v>117</v>
      </c>
      <c r="B45" s="10" t="s">
        <v>6</v>
      </c>
      <c r="C45" s="10">
        <v>1</v>
      </c>
      <c r="D45" s="311">
        <f>E32</f>
        <v>1314.09</v>
      </c>
      <c r="E45" s="203">
        <f>C45*D45</f>
        <v>1314.09</v>
      </c>
    </row>
    <row r="46" spans="1:9" x14ac:dyDescent="0.2">
      <c r="A46" s="168" t="s">
        <v>0</v>
      </c>
      <c r="B46" s="12" t="s">
        <v>1</v>
      </c>
      <c r="C46" s="199">
        <v>20</v>
      </c>
      <c r="D46" s="204">
        <f>SUM(E45:E45)</f>
        <v>1314.09</v>
      </c>
      <c r="E46" s="205">
        <f>C46*D46/100</f>
        <v>262.81799999999998</v>
      </c>
      <c r="H46" s="169" t="s">
        <v>117</v>
      </c>
    </row>
    <row r="47" spans="1:9" x14ac:dyDescent="0.2">
      <c r="A47" s="222" t="s">
        <v>2</v>
      </c>
      <c r="B47" s="57"/>
      <c r="C47" s="57"/>
      <c r="D47" s="206"/>
      <c r="E47" s="240">
        <f>SUM(E45:E46)</f>
        <v>1576.9079999999999</v>
      </c>
      <c r="H47" s="226" t="s">
        <v>2</v>
      </c>
    </row>
    <row r="48" spans="1:9" x14ac:dyDescent="0.2">
      <c r="A48" s="168" t="s">
        <v>3</v>
      </c>
      <c r="B48" s="12" t="s">
        <v>1</v>
      </c>
      <c r="C48" s="305">
        <f>'2. Encargos Sociais'!$C$34*100</f>
        <v>70</v>
      </c>
      <c r="D48" s="205">
        <f>E45+E46</f>
        <v>1576.9079999999999</v>
      </c>
      <c r="E48" s="217">
        <f>D48*C48/100</f>
        <v>1103.8355999999999</v>
      </c>
      <c r="H48" s="168" t="s">
        <v>3</v>
      </c>
      <c r="I48" s="241"/>
    </row>
    <row r="49" spans="1:10" x14ac:dyDescent="0.2">
      <c r="A49" s="222" t="s">
        <v>176</v>
      </c>
      <c r="B49" s="57"/>
      <c r="C49" s="57"/>
      <c r="D49" s="206"/>
      <c r="E49" s="216">
        <f>E45+E46+E48</f>
        <v>2680.7435999999998</v>
      </c>
      <c r="H49" s="226" t="s">
        <v>149</v>
      </c>
    </row>
    <row r="50" spans="1:10" ht="13.5" thickBot="1" x14ac:dyDescent="0.25">
      <c r="A50" s="11" t="s">
        <v>4</v>
      </c>
      <c r="B50" s="12" t="s">
        <v>5</v>
      </c>
      <c r="C50" s="199">
        <v>75</v>
      </c>
      <c r="D50" s="205">
        <f>E49</f>
        <v>2680.7435999999998</v>
      </c>
      <c r="E50" s="205">
        <f>C50*D50</f>
        <v>201055.77</v>
      </c>
      <c r="G50" s="3"/>
      <c r="H50" s="168" t="s">
        <v>4</v>
      </c>
    </row>
    <row r="51" spans="1:10" ht="13.9" customHeight="1" thickBot="1" x14ac:dyDescent="0.25">
      <c r="A51" s="9" t="s">
        <v>249</v>
      </c>
      <c r="D51" s="60" t="s">
        <v>132</v>
      </c>
      <c r="E51" s="185">
        <v>0.90910000000000002</v>
      </c>
      <c r="F51" s="207">
        <f>(((E45+E48)*E51)+E46)*C50</f>
        <v>184571.56222199998</v>
      </c>
      <c r="G51" s="3"/>
      <c r="J51" s="4"/>
    </row>
    <row r="52" spans="1:10" ht="13.9" customHeight="1" x14ac:dyDescent="0.2">
      <c r="A52" s="386"/>
      <c r="B52" s="387"/>
      <c r="C52" s="387"/>
      <c r="D52" s="387"/>
      <c r="E52" s="186"/>
      <c r="F52" s="189"/>
      <c r="G52" s="3"/>
      <c r="I52" s="241"/>
      <c r="J52" s="4"/>
    </row>
    <row r="53" spans="1:10" ht="13.5" thickBot="1" x14ac:dyDescent="0.25">
      <c r="A53" s="4" t="s">
        <v>234</v>
      </c>
    </row>
    <row r="54" spans="1:10" s="9" customFormat="1" ht="13.15" customHeight="1" thickBot="1" x14ac:dyDescent="0.25">
      <c r="A54" s="36" t="s">
        <v>20</v>
      </c>
      <c r="B54" s="37" t="s">
        <v>21</v>
      </c>
      <c r="C54" s="37" t="s">
        <v>12</v>
      </c>
      <c r="D54" s="38" t="s">
        <v>120</v>
      </c>
      <c r="E54" s="38" t="s">
        <v>22</v>
      </c>
      <c r="F54" s="39" t="s">
        <v>23</v>
      </c>
      <c r="G54" s="7"/>
    </row>
    <row r="55" spans="1:10" x14ac:dyDescent="0.2">
      <c r="A55" s="169" t="s">
        <v>117</v>
      </c>
      <c r="B55" s="10" t="s">
        <v>6</v>
      </c>
      <c r="C55" s="10">
        <v>1</v>
      </c>
      <c r="D55" s="273">
        <v>1717.39</v>
      </c>
      <c r="E55" s="208">
        <f>C55*D55</f>
        <v>1717.39</v>
      </c>
    </row>
    <row r="56" spans="1:10" hidden="1" x14ac:dyDescent="0.2">
      <c r="A56" s="168" t="s">
        <v>187</v>
      </c>
      <c r="B56" s="268" t="s">
        <v>6</v>
      </c>
      <c r="C56" s="12">
        <v>1</v>
      </c>
      <c r="D56" s="276">
        <v>0</v>
      </c>
      <c r="E56" s="209">
        <f>C56*D56</f>
        <v>0</v>
      </c>
    </row>
    <row r="57" spans="1:10" s="8" customFormat="1" x14ac:dyDescent="0.2">
      <c r="A57" s="169" t="s">
        <v>2</v>
      </c>
      <c r="B57" s="57"/>
      <c r="C57" s="57"/>
      <c r="D57" s="211"/>
      <c r="E57" s="293">
        <f>E55+E56</f>
        <v>1717.39</v>
      </c>
      <c r="F57" s="27"/>
      <c r="G57" s="27"/>
    </row>
    <row r="58" spans="1:10" x14ac:dyDescent="0.2">
      <c r="A58" s="168" t="s">
        <v>3</v>
      </c>
      <c r="B58" s="12" t="s">
        <v>1</v>
      </c>
      <c r="C58" s="305">
        <f>'2. Encargos Sociais'!$C$34*100</f>
        <v>70</v>
      </c>
      <c r="D58" s="209">
        <f>E57</f>
        <v>1717.39</v>
      </c>
      <c r="E58" s="215">
        <f>D58*C58/100</f>
        <v>1202.173</v>
      </c>
      <c r="G58" s="173"/>
    </row>
    <row r="59" spans="1:10" s="8" customFormat="1" x14ac:dyDescent="0.2">
      <c r="A59" s="168" t="s">
        <v>194</v>
      </c>
      <c r="B59" s="161"/>
      <c r="C59" s="161"/>
      <c r="D59" s="212"/>
      <c r="E59" s="215">
        <f>E57+E58</f>
        <v>2919.5630000000001</v>
      </c>
      <c r="F59" s="27"/>
      <c r="G59" s="27"/>
    </row>
    <row r="60" spans="1:10" ht="13.5" thickBot="1" x14ac:dyDescent="0.25">
      <c r="A60" s="11" t="s">
        <v>4</v>
      </c>
      <c r="B60" s="12" t="s">
        <v>5</v>
      </c>
      <c r="C60" s="199">
        <v>1</v>
      </c>
      <c r="D60" s="209">
        <f>E59</f>
        <v>2919.5630000000001</v>
      </c>
      <c r="E60" s="209">
        <f>C60*D60</f>
        <v>2919.5630000000001</v>
      </c>
    </row>
    <row r="61" spans="1:10" ht="13.5" thickBot="1" x14ac:dyDescent="0.25">
      <c r="A61" s="388"/>
      <c r="B61" s="388"/>
      <c r="C61" s="388"/>
      <c r="D61" s="60" t="s">
        <v>132</v>
      </c>
      <c r="E61" s="185">
        <v>0.90910000000000002</v>
      </c>
      <c r="F61" s="207">
        <f>E60*E61</f>
        <v>2654.1747233000001</v>
      </c>
      <c r="G61" s="3"/>
    </row>
    <row r="62" spans="1:10" x14ac:dyDescent="0.2">
      <c r="A62" s="4"/>
      <c r="B62" s="4"/>
      <c r="C62" s="4"/>
      <c r="D62" s="4"/>
      <c r="E62" s="186"/>
      <c r="F62" s="189"/>
      <c r="G62" s="3"/>
    </row>
    <row r="63" spans="1:10" ht="13.5" thickBot="1" x14ac:dyDescent="0.25">
      <c r="A63" s="4" t="s">
        <v>235</v>
      </c>
      <c r="G63" s="3"/>
    </row>
    <row r="64" spans="1:10" ht="13.5" thickBot="1" x14ac:dyDescent="0.25">
      <c r="A64" s="36" t="s">
        <v>20</v>
      </c>
      <c r="B64" s="37" t="s">
        <v>21</v>
      </c>
      <c r="C64" s="37" t="s">
        <v>12</v>
      </c>
      <c r="D64" s="38" t="s">
        <v>120</v>
      </c>
      <c r="E64" s="38" t="s">
        <v>22</v>
      </c>
      <c r="F64" s="39" t="s">
        <v>23</v>
      </c>
      <c r="G64" s="3"/>
    </row>
    <row r="65" spans="1:9" x14ac:dyDescent="0.2">
      <c r="A65" s="169" t="s">
        <v>117</v>
      </c>
      <c r="B65" s="10" t="s">
        <v>6</v>
      </c>
      <c r="C65" s="10">
        <v>1</v>
      </c>
      <c r="D65" s="273">
        <v>2679.09</v>
      </c>
      <c r="E65" s="208">
        <f>C65*D65</f>
        <v>2679.09</v>
      </c>
      <c r="G65" s="3"/>
    </row>
    <row r="66" spans="1:9" hidden="1" x14ac:dyDescent="0.2">
      <c r="A66" s="168" t="s">
        <v>187</v>
      </c>
      <c r="B66" s="268" t="s">
        <v>6</v>
      </c>
      <c r="C66" s="12">
        <v>1</v>
      </c>
      <c r="D66" s="276">
        <v>0</v>
      </c>
      <c r="E66" s="209">
        <f>C66*D66</f>
        <v>0</v>
      </c>
      <c r="G66" s="3"/>
    </row>
    <row r="67" spans="1:9" x14ac:dyDescent="0.2">
      <c r="A67" s="169" t="s">
        <v>2</v>
      </c>
      <c r="B67" s="57"/>
      <c r="C67" s="57"/>
      <c r="D67" s="211"/>
      <c r="E67" s="293">
        <f>E65+E66</f>
        <v>2679.09</v>
      </c>
      <c r="F67" s="27"/>
      <c r="G67" s="3"/>
    </row>
    <row r="68" spans="1:9" x14ac:dyDescent="0.2">
      <c r="A68" s="168" t="s">
        <v>3</v>
      </c>
      <c r="B68" s="12" t="s">
        <v>1</v>
      </c>
      <c r="C68" s="305">
        <f>'2. Encargos Sociais'!$C$34*100</f>
        <v>70</v>
      </c>
      <c r="D68" s="209">
        <f>E67</f>
        <v>2679.09</v>
      </c>
      <c r="E68" s="215">
        <f>D68*C68/100</f>
        <v>1875.3630000000003</v>
      </c>
      <c r="G68" s="3"/>
    </row>
    <row r="69" spans="1:9" x14ac:dyDescent="0.2">
      <c r="A69" s="168" t="s">
        <v>194</v>
      </c>
      <c r="B69" s="161"/>
      <c r="C69" s="161"/>
      <c r="D69" s="212"/>
      <c r="E69" s="215">
        <f>E67+E68</f>
        <v>4554.4530000000004</v>
      </c>
      <c r="F69" s="27"/>
      <c r="G69" s="3"/>
    </row>
    <row r="70" spans="1:9" ht="13.5" thickBot="1" x14ac:dyDescent="0.25">
      <c r="A70" s="11" t="s">
        <v>4</v>
      </c>
      <c r="B70" s="12" t="s">
        <v>5</v>
      </c>
      <c r="C70" s="199">
        <v>1</v>
      </c>
      <c r="D70" s="209">
        <f>E69</f>
        <v>4554.4530000000004</v>
      </c>
      <c r="E70" s="209">
        <f>C70*D70</f>
        <v>4554.4530000000004</v>
      </c>
      <c r="G70" s="3"/>
    </row>
    <row r="71" spans="1:9" ht="13.5" thickBot="1" x14ac:dyDescent="0.25">
      <c r="A71" s="388"/>
      <c r="B71" s="388"/>
      <c r="C71" s="388"/>
      <c r="D71" s="60" t="s">
        <v>132</v>
      </c>
      <c r="E71" s="185">
        <f>40/42</f>
        <v>0.95238095238095233</v>
      </c>
      <c r="F71" s="207">
        <f>E70*E71</f>
        <v>4337.5742857142859</v>
      </c>
      <c r="G71" s="3"/>
    </row>
    <row r="72" spans="1:9" x14ac:dyDescent="0.2">
      <c r="A72" s="4"/>
      <c r="B72" s="4"/>
      <c r="C72" s="4"/>
      <c r="D72" s="4"/>
      <c r="E72" s="186"/>
      <c r="F72" s="189"/>
      <c r="G72" s="3"/>
    </row>
    <row r="73" spans="1:9" ht="11.25" customHeight="1" thickBot="1" x14ac:dyDescent="0.25">
      <c r="A73" s="360" t="s">
        <v>236</v>
      </c>
      <c r="B73" s="281"/>
      <c r="C73" s="4"/>
      <c r="D73" s="4"/>
      <c r="E73" s="282"/>
      <c r="F73" s="173"/>
      <c r="G73" s="173"/>
      <c r="I73" s="237"/>
    </row>
    <row r="74" spans="1:9" ht="14.45" customHeight="1" thickBot="1" x14ac:dyDescent="0.25">
      <c r="A74" s="36" t="s">
        <v>20</v>
      </c>
      <c r="B74" s="37" t="s">
        <v>21</v>
      </c>
      <c r="C74" s="37" t="s">
        <v>12</v>
      </c>
      <c r="D74" s="38" t="s">
        <v>120</v>
      </c>
      <c r="E74" s="38" t="s">
        <v>22</v>
      </c>
      <c r="F74" s="39" t="s">
        <v>23</v>
      </c>
      <c r="G74" s="173"/>
      <c r="I74" s="237"/>
    </row>
    <row r="75" spans="1:9" ht="15" customHeight="1" x14ac:dyDescent="0.2">
      <c r="A75" s="168" t="s">
        <v>181</v>
      </c>
      <c r="B75" s="268" t="s">
        <v>182</v>
      </c>
      <c r="C75" s="283">
        <v>1</v>
      </c>
      <c r="D75" s="284">
        <v>2.39</v>
      </c>
      <c r="E75" s="274"/>
      <c r="F75" s="173"/>
      <c r="G75" s="173"/>
      <c r="I75" s="237"/>
    </row>
    <row r="76" spans="1:9" ht="13.9" customHeight="1" x14ac:dyDescent="0.2">
      <c r="A76" s="168" t="s">
        <v>183</v>
      </c>
      <c r="B76" s="268" t="s">
        <v>184</v>
      </c>
      <c r="C76" s="285">
        <v>21</v>
      </c>
      <c r="D76" s="274"/>
      <c r="E76" s="274"/>
      <c r="F76" s="173"/>
      <c r="G76" s="173"/>
      <c r="I76" s="237"/>
    </row>
    <row r="77" spans="1:9" ht="14.45" customHeight="1" thickBot="1" x14ac:dyDescent="0.25">
      <c r="A77" s="168" t="s">
        <v>231</v>
      </c>
      <c r="B77" s="268" t="s">
        <v>185</v>
      </c>
      <c r="C77" s="286">
        <f>$C$76*2*(C50)</f>
        <v>3150</v>
      </c>
      <c r="D77" s="287">
        <f>IFERROR((($C$76*2*$D$75)-(E45*0.06*C76/C76))/($C$76*2),"-")</f>
        <v>0.51272857142857176</v>
      </c>
      <c r="E77" s="274">
        <f>IFERROR(C77*D77,"-")</f>
        <v>1615.0950000000009</v>
      </c>
      <c r="F77" s="173"/>
      <c r="G77" s="173"/>
      <c r="I77" s="237"/>
    </row>
    <row r="78" spans="1:9" ht="14.45" hidden="1" customHeight="1" thickBot="1" x14ac:dyDescent="0.25">
      <c r="A78" s="169" t="s">
        <v>186</v>
      </c>
      <c r="B78" s="270" t="s">
        <v>185</v>
      </c>
      <c r="C78" s="286">
        <f>$C$160*2*(C41)</f>
        <v>0</v>
      </c>
      <c r="D78" s="287"/>
      <c r="E78" s="287">
        <f>IFERROR(C78*D78,"-")</f>
        <v>0</v>
      </c>
      <c r="F78" s="173"/>
      <c r="G78" s="173"/>
      <c r="I78" s="237"/>
    </row>
    <row r="79" spans="1:9" ht="14.45" customHeight="1" thickBot="1" x14ac:dyDescent="0.25">
      <c r="A79" s="4"/>
      <c r="B79" s="4"/>
      <c r="C79" s="4"/>
      <c r="D79" s="173"/>
      <c r="E79" s="173"/>
      <c r="F79" s="280">
        <f>SUM(E77:E78)</f>
        <v>1615.0950000000009</v>
      </c>
      <c r="G79" s="173"/>
      <c r="I79" s="237"/>
    </row>
    <row r="80" spans="1:9" ht="11.25" customHeight="1" x14ac:dyDescent="0.2">
      <c r="G80" s="173"/>
      <c r="I80" s="237"/>
    </row>
    <row r="81" spans="1:11" ht="13.5" thickBot="1" x14ac:dyDescent="0.25">
      <c r="A81" s="4" t="s">
        <v>237</v>
      </c>
      <c r="F81" s="13"/>
      <c r="I81" s="239"/>
    </row>
    <row r="82" spans="1:11" ht="13.5" thickBot="1" x14ac:dyDescent="0.25">
      <c r="A82" s="36" t="s">
        <v>20</v>
      </c>
      <c r="B82" s="37" t="s">
        <v>21</v>
      </c>
      <c r="C82" s="37" t="s">
        <v>12</v>
      </c>
      <c r="D82" s="38" t="s">
        <v>120</v>
      </c>
      <c r="E82" s="38" t="s">
        <v>22</v>
      </c>
      <c r="F82" s="39" t="s">
        <v>23</v>
      </c>
      <c r="G82" s="173"/>
      <c r="K82" s="238"/>
    </row>
    <row r="83" spans="1:11" x14ac:dyDescent="0.2">
      <c r="A83" s="168" t="s">
        <v>232</v>
      </c>
      <c r="B83" s="12" t="s">
        <v>7</v>
      </c>
      <c r="C83" s="362">
        <f>C76*C50</f>
        <v>1575</v>
      </c>
      <c r="D83" s="213">
        <f>20.18*0.81</f>
        <v>16.345800000000001</v>
      </c>
      <c r="E83" s="361">
        <f>(D83*C83)</f>
        <v>25744.635000000002</v>
      </c>
      <c r="F83" s="13"/>
      <c r="I83" s="239"/>
    </row>
    <row r="84" spans="1:11" ht="13.5" thickBot="1" x14ac:dyDescent="0.25">
      <c r="A84" s="168" t="s">
        <v>239</v>
      </c>
      <c r="B84" s="12" t="s">
        <v>7</v>
      </c>
      <c r="C84" s="362">
        <f>(C60+C70)*C76</f>
        <v>42</v>
      </c>
      <c r="D84" s="213">
        <f>20.18*0.81</f>
        <v>16.345800000000001</v>
      </c>
      <c r="E84" s="361">
        <f>(D84*C84)</f>
        <v>686.52359999999999</v>
      </c>
      <c r="F84" s="13"/>
      <c r="I84" s="239"/>
    </row>
    <row r="85" spans="1:11" ht="13.5" thickBot="1" x14ac:dyDescent="0.25">
      <c r="A85" s="244" t="s">
        <v>224</v>
      </c>
      <c r="B85" s="244"/>
      <c r="D85" s="60" t="s">
        <v>132</v>
      </c>
      <c r="E85" s="31">
        <v>1</v>
      </c>
      <c r="F85" s="183">
        <f>SUM(E83:E84)*E85</f>
        <v>26431.158600000002</v>
      </c>
      <c r="G85" s="238"/>
    </row>
    <row r="86" spans="1:11" x14ac:dyDescent="0.2">
      <c r="A86" s="242"/>
      <c r="B86" s="242"/>
      <c r="D86" s="60"/>
      <c r="E86" s="35"/>
      <c r="F86" s="243"/>
      <c r="G86" s="238"/>
    </row>
    <row r="87" spans="1:11" hidden="1" x14ac:dyDescent="0.2">
      <c r="A87" s="242"/>
      <c r="B87" s="242"/>
      <c r="D87" s="60"/>
      <c r="E87" s="35"/>
      <c r="F87" s="243"/>
      <c r="G87" s="6"/>
    </row>
    <row r="88" spans="1:11" hidden="1" x14ac:dyDescent="0.2">
      <c r="A88" s="242"/>
      <c r="B88" s="242"/>
      <c r="D88" s="60"/>
      <c r="E88" s="35"/>
      <c r="F88" s="243"/>
      <c r="G88" s="6"/>
    </row>
    <row r="89" spans="1:11" hidden="1" x14ac:dyDescent="0.2">
      <c r="A89" s="242"/>
      <c r="B89" s="242"/>
      <c r="D89" s="60"/>
      <c r="E89" s="35"/>
      <c r="F89" s="243"/>
      <c r="G89" s="6"/>
    </row>
    <row r="90" spans="1:11" hidden="1" x14ac:dyDescent="0.2">
      <c r="A90" s="4" t="s">
        <v>191</v>
      </c>
      <c r="B90" s="4"/>
      <c r="C90" s="4"/>
      <c r="D90" s="173"/>
      <c r="E90" s="173"/>
      <c r="F90" s="13"/>
      <c r="G90" s="6"/>
    </row>
    <row r="91" spans="1:11" ht="13.5" hidden="1" thickBot="1" x14ac:dyDescent="0.25">
      <c r="A91" s="36" t="s">
        <v>20</v>
      </c>
      <c r="B91" s="37" t="s">
        <v>21</v>
      </c>
      <c r="C91" s="37" t="s">
        <v>12</v>
      </c>
      <c r="D91" s="38" t="s">
        <v>120</v>
      </c>
      <c r="E91" s="38" t="s">
        <v>22</v>
      </c>
      <c r="F91" s="39" t="s">
        <v>23</v>
      </c>
      <c r="G91" s="6"/>
    </row>
    <row r="92" spans="1:11" hidden="1" x14ac:dyDescent="0.2">
      <c r="A92" s="168" t="str">
        <f>+A83</f>
        <v>Auxiliar de limpeza</v>
      </c>
      <c r="B92" s="268" t="s">
        <v>7</v>
      </c>
      <c r="C92" s="301">
        <v>0</v>
      </c>
      <c r="D92" s="302"/>
      <c r="E92" s="298">
        <f>C92*D92</f>
        <v>0</v>
      </c>
      <c r="F92" s="13"/>
      <c r="G92" s="6"/>
    </row>
    <row r="93" spans="1:11" hidden="1" x14ac:dyDescent="0.2">
      <c r="A93" s="168" t="s">
        <v>190</v>
      </c>
      <c r="B93" s="268" t="s">
        <v>7</v>
      </c>
      <c r="C93" s="301">
        <v>0</v>
      </c>
      <c r="D93" s="302">
        <f>88.75*0.8</f>
        <v>71</v>
      </c>
      <c r="E93" s="298">
        <f>C93*D93</f>
        <v>0</v>
      </c>
      <c r="F93" s="13"/>
      <c r="G93" s="6"/>
    </row>
    <row r="94" spans="1:11" ht="13.5" hidden="1" thickBot="1" x14ac:dyDescent="0.25">
      <c r="A94" s="4"/>
      <c r="B94" s="4"/>
      <c r="C94" s="4"/>
      <c r="D94" s="297" t="s">
        <v>188</v>
      </c>
      <c r="E94" s="303">
        <f>E61</f>
        <v>0.90910000000000002</v>
      </c>
      <c r="F94" s="280">
        <f>SUM(E92:E93)*E94</f>
        <v>0</v>
      </c>
      <c r="G94" s="6"/>
    </row>
    <row r="95" spans="1:11" hidden="1" x14ac:dyDescent="0.2">
      <c r="A95" s="4"/>
      <c r="B95" s="4"/>
      <c r="C95" s="4"/>
      <c r="D95" s="297"/>
      <c r="E95" s="304"/>
      <c r="F95" s="243"/>
      <c r="G95" s="6"/>
    </row>
    <row r="96" spans="1:11" ht="13.5" thickBot="1" x14ac:dyDescent="0.25">
      <c r="A96" s="4" t="s">
        <v>238</v>
      </c>
      <c r="F96" s="13"/>
      <c r="G96" s="6"/>
    </row>
    <row r="97" spans="1:8" ht="13.5" thickBot="1" x14ac:dyDescent="0.25">
      <c r="A97" s="36" t="s">
        <v>20</v>
      </c>
      <c r="B97" s="37" t="s">
        <v>21</v>
      </c>
      <c r="C97" s="37" t="s">
        <v>12</v>
      </c>
      <c r="D97" s="38" t="s">
        <v>120</v>
      </c>
      <c r="E97" s="38" t="s">
        <v>22</v>
      </c>
      <c r="F97" s="39" t="s">
        <v>23</v>
      </c>
      <c r="G97" s="6"/>
    </row>
    <row r="98" spans="1:8" ht="13.5" thickBot="1" x14ac:dyDescent="0.25">
      <c r="A98" s="168" t="s">
        <v>198</v>
      </c>
      <c r="B98" s="12" t="s">
        <v>7</v>
      </c>
      <c r="C98" s="202">
        <f>C50+C60</f>
        <v>76</v>
      </c>
      <c r="D98" s="213">
        <v>17.32</v>
      </c>
      <c r="E98" s="361">
        <f>C98*D98</f>
        <v>1316.32</v>
      </c>
      <c r="F98" s="13"/>
      <c r="G98" s="6"/>
    </row>
    <row r="99" spans="1:8" ht="13.5" hidden="1" thickBot="1" x14ac:dyDescent="0.25">
      <c r="A99" s="168" t="s">
        <v>189</v>
      </c>
      <c r="B99" s="12" t="s">
        <v>7</v>
      </c>
      <c r="C99" s="202">
        <v>0</v>
      </c>
      <c r="D99" s="213">
        <v>0</v>
      </c>
      <c r="E99" s="250"/>
      <c r="F99" s="13"/>
      <c r="G99" s="6"/>
    </row>
    <row r="100" spans="1:8" ht="13.5" thickBot="1" x14ac:dyDescent="0.25">
      <c r="A100" s="244"/>
      <c r="B100" s="244"/>
      <c r="D100" s="60" t="s">
        <v>132</v>
      </c>
      <c r="E100" s="31">
        <v>1</v>
      </c>
      <c r="F100" s="183">
        <f>SUM(E98:E99)*E100</f>
        <v>1316.32</v>
      </c>
      <c r="G100" s="6"/>
    </row>
    <row r="101" spans="1:8" ht="13.5" thickBot="1" x14ac:dyDescent="0.25">
      <c r="A101" s="242"/>
      <c r="B101" s="242"/>
      <c r="D101" s="60"/>
      <c r="E101" s="35"/>
      <c r="F101" s="243"/>
      <c r="G101" s="6"/>
    </row>
    <row r="102" spans="1:8" ht="13.5" thickBot="1" x14ac:dyDescent="0.25">
      <c r="A102" s="174" t="s">
        <v>133</v>
      </c>
      <c r="B102" s="175"/>
      <c r="C102" s="175"/>
      <c r="D102" s="176"/>
      <c r="E102" s="177"/>
      <c r="F102" s="182">
        <f>F51+F61+F79+F85+F94+F100+F71</f>
        <v>220925.88483101426</v>
      </c>
      <c r="G102" s="6"/>
      <c r="H102" s="184"/>
    </row>
    <row r="103" spans="1:8" ht="15" customHeight="1" x14ac:dyDescent="0.2"/>
    <row r="104" spans="1:8" ht="15" hidden="1" customHeight="1" x14ac:dyDescent="0.2"/>
    <row r="105" spans="1:8" ht="15" hidden="1" customHeight="1" x14ac:dyDescent="0.2"/>
    <row r="106" spans="1:8" ht="15" hidden="1" customHeight="1" x14ac:dyDescent="0.2"/>
    <row r="107" spans="1:8" ht="15" customHeight="1" x14ac:dyDescent="0.2"/>
    <row r="108" spans="1:8" x14ac:dyDescent="0.2">
      <c r="A108" s="8" t="s">
        <v>16</v>
      </c>
      <c r="G108" s="6"/>
    </row>
    <row r="109" spans="1:8" ht="13.9" customHeight="1" thickBot="1" x14ac:dyDescent="0.25">
      <c r="A109" s="4" t="s">
        <v>150</v>
      </c>
      <c r="G109" s="6"/>
    </row>
    <row r="110" spans="1:8" ht="27.75" customHeight="1" thickBot="1" x14ac:dyDescent="0.25">
      <c r="A110" s="36" t="s">
        <v>20</v>
      </c>
      <c r="B110" s="37" t="s">
        <v>21</v>
      </c>
      <c r="C110" s="162" t="s">
        <v>130</v>
      </c>
      <c r="D110" s="38" t="s">
        <v>120</v>
      </c>
      <c r="E110" s="38" t="s">
        <v>22</v>
      </c>
      <c r="F110" s="39" t="s">
        <v>23</v>
      </c>
      <c r="G110" s="6"/>
    </row>
    <row r="111" spans="1:8" ht="13.15" customHeight="1" x14ac:dyDescent="0.2">
      <c r="A111" s="169" t="s">
        <v>178</v>
      </c>
      <c r="B111" s="270" t="s">
        <v>7</v>
      </c>
      <c r="C111" s="269">
        <v>12</v>
      </c>
      <c r="D111" s="214">
        <v>110</v>
      </c>
      <c r="E111" s="208">
        <f>IFERROR(D111/C111,0)</f>
        <v>9.1666666666666661</v>
      </c>
      <c r="G111" s="6"/>
    </row>
    <row r="112" spans="1:8" ht="13.15" customHeight="1" x14ac:dyDescent="0.2">
      <c r="A112" s="11" t="s">
        <v>8</v>
      </c>
      <c r="B112" s="12" t="s">
        <v>7</v>
      </c>
      <c r="C112" s="269">
        <v>6</v>
      </c>
      <c r="D112" s="214">
        <v>46</v>
      </c>
      <c r="E112" s="208">
        <f t="shared" ref="E112:E117" si="1">IFERROR(D112/C112,0)</f>
        <v>7.666666666666667</v>
      </c>
      <c r="G112" s="6"/>
    </row>
    <row r="113" spans="1:7" x14ac:dyDescent="0.2">
      <c r="A113" s="312" t="s">
        <v>199</v>
      </c>
      <c r="B113" s="313" t="s">
        <v>7</v>
      </c>
      <c r="C113" s="269">
        <v>6</v>
      </c>
      <c r="D113" s="314">
        <v>35</v>
      </c>
      <c r="E113" s="315">
        <f t="shared" si="1"/>
        <v>5.833333333333333</v>
      </c>
      <c r="G113" s="6"/>
    </row>
    <row r="114" spans="1:7" x14ac:dyDescent="0.2">
      <c r="A114" s="312" t="s">
        <v>200</v>
      </c>
      <c r="B114" s="313" t="s">
        <v>7</v>
      </c>
      <c r="C114" s="269">
        <v>6</v>
      </c>
      <c r="D114" s="314">
        <v>40</v>
      </c>
      <c r="E114" s="315">
        <f t="shared" si="1"/>
        <v>6.666666666666667</v>
      </c>
      <c r="G114" s="6"/>
    </row>
    <row r="115" spans="1:7" ht="13.9" customHeight="1" x14ac:dyDescent="0.2">
      <c r="A115" s="168" t="s">
        <v>201</v>
      </c>
      <c r="B115" s="12" t="s">
        <v>18</v>
      </c>
      <c r="C115" s="269">
        <v>6</v>
      </c>
      <c r="D115" s="214">
        <v>57</v>
      </c>
      <c r="E115" s="208">
        <f t="shared" si="1"/>
        <v>9.5</v>
      </c>
      <c r="G115" s="6"/>
    </row>
    <row r="116" spans="1:7" ht="13.9" customHeight="1" x14ac:dyDescent="0.2">
      <c r="A116" s="271" t="s">
        <v>246</v>
      </c>
      <c r="B116" s="272" t="s">
        <v>7</v>
      </c>
      <c r="C116" s="269">
        <v>6</v>
      </c>
      <c r="D116" s="214">
        <v>40</v>
      </c>
      <c r="E116" s="208">
        <f t="shared" si="1"/>
        <v>6.666666666666667</v>
      </c>
      <c r="G116" s="6"/>
    </row>
    <row r="117" spans="1:7" ht="13.9" customHeight="1" x14ac:dyDescent="0.2">
      <c r="A117" s="168" t="s">
        <v>240</v>
      </c>
      <c r="B117" s="268" t="s">
        <v>18</v>
      </c>
      <c r="C117" s="269">
        <v>4.7619047619047616E-2</v>
      </c>
      <c r="D117" s="214">
        <v>0.22</v>
      </c>
      <c r="E117" s="208">
        <f t="shared" si="1"/>
        <v>4.62</v>
      </c>
      <c r="G117" s="6"/>
    </row>
    <row r="118" spans="1:7" ht="13.5" thickBot="1" x14ac:dyDescent="0.25">
      <c r="A118" s="389" t="s">
        <v>179</v>
      </c>
      <c r="B118" s="390"/>
      <c r="C118" s="58">
        <f>E31</f>
        <v>75</v>
      </c>
      <c r="D118" s="210">
        <f>+SUM(E111:E117)</f>
        <v>50.11999999999999</v>
      </c>
      <c r="E118" s="209">
        <f t="shared" ref="E118" si="2">C118*D118</f>
        <v>3758.9999999999991</v>
      </c>
    </row>
    <row r="119" spans="1:7" ht="13.5" thickBot="1" x14ac:dyDescent="0.25">
      <c r="D119" s="60" t="s">
        <v>132</v>
      </c>
      <c r="E119" s="185">
        <v>0.90910000000000002</v>
      </c>
      <c r="F119" s="207">
        <f>E118*E119</f>
        <v>3417.3068999999991</v>
      </c>
    </row>
    <row r="120" spans="1:7" ht="11.25" customHeight="1" thickBot="1" x14ac:dyDescent="0.25">
      <c r="G120" s="6"/>
    </row>
    <row r="121" spans="1:7" ht="13.5" thickBot="1" x14ac:dyDescent="0.25">
      <c r="A121" s="174" t="s">
        <v>134</v>
      </c>
      <c r="B121" s="178"/>
      <c r="C121" s="178"/>
      <c r="D121" s="179"/>
      <c r="E121" s="180"/>
      <c r="F121" s="181">
        <f>+F119</f>
        <v>3417.3068999999991</v>
      </c>
      <c r="G121" s="6"/>
    </row>
    <row r="122" spans="1:7" ht="11.25" customHeight="1" x14ac:dyDescent="0.2">
      <c r="G122" s="6"/>
    </row>
    <row r="123" spans="1:7" ht="13.9" hidden="1" customHeight="1" x14ac:dyDescent="0.2">
      <c r="A123" s="8" t="s">
        <v>202</v>
      </c>
      <c r="B123" s="4"/>
      <c r="C123" s="4"/>
      <c r="D123" s="316"/>
      <c r="E123" s="316"/>
      <c r="F123" s="316"/>
      <c r="G123" s="6"/>
    </row>
    <row r="124" spans="1:7" ht="13.9" hidden="1" customHeight="1" thickBot="1" x14ac:dyDescent="0.25">
      <c r="A124" s="317" t="s">
        <v>203</v>
      </c>
      <c r="B124" s="4"/>
      <c r="C124" s="4"/>
      <c r="D124" s="316"/>
      <c r="E124" s="316"/>
      <c r="F124" s="316"/>
      <c r="G124" s="6"/>
    </row>
    <row r="125" spans="1:7" ht="13.9" hidden="1" customHeight="1" thickBot="1" x14ac:dyDescent="0.25">
      <c r="A125" s="318" t="s">
        <v>20</v>
      </c>
      <c r="B125" s="319" t="s">
        <v>21</v>
      </c>
      <c r="C125" s="319" t="s">
        <v>12</v>
      </c>
      <c r="D125" s="320" t="s">
        <v>120</v>
      </c>
      <c r="E125" s="321" t="s">
        <v>22</v>
      </c>
      <c r="F125" s="322" t="s">
        <v>23</v>
      </c>
      <c r="G125" s="6"/>
    </row>
    <row r="126" spans="1:7" ht="13.9" hidden="1" customHeight="1" x14ac:dyDescent="0.2">
      <c r="A126" s="323" t="s">
        <v>222</v>
      </c>
      <c r="B126" s="270" t="s">
        <v>7</v>
      </c>
      <c r="C126" s="324">
        <v>0</v>
      </c>
      <c r="D126" s="325">
        <v>454.14</v>
      </c>
      <c r="E126" s="326">
        <f>C126*D126</f>
        <v>0</v>
      </c>
      <c r="F126" s="316"/>
      <c r="G126" s="6"/>
    </row>
    <row r="127" spans="1:7" ht="13.9" hidden="1" customHeight="1" x14ac:dyDescent="0.2">
      <c r="A127" s="323"/>
      <c r="B127" s="270"/>
      <c r="C127" s="324"/>
      <c r="D127" s="325"/>
      <c r="E127" s="326">
        <f>C127*D127</f>
        <v>0</v>
      </c>
      <c r="F127" s="316"/>
      <c r="G127" s="6"/>
    </row>
    <row r="128" spans="1:7" ht="13.9" hidden="1" customHeight="1" x14ac:dyDescent="0.2">
      <c r="A128" s="168" t="s">
        <v>204</v>
      </c>
      <c r="B128" s="268" t="s">
        <v>205</v>
      </c>
      <c r="C128" s="327">
        <v>2</v>
      </c>
      <c r="D128" s="328"/>
      <c r="E128" s="329"/>
      <c r="F128" s="316"/>
      <c r="G128" s="6"/>
    </row>
    <row r="129" spans="1:7" ht="13.9" hidden="1" customHeight="1" x14ac:dyDescent="0.2">
      <c r="A129" s="168" t="s">
        <v>206</v>
      </c>
      <c r="B129" s="268"/>
      <c r="C129" s="327">
        <v>0</v>
      </c>
      <c r="D129" s="329"/>
      <c r="E129" s="329"/>
      <c r="F129" s="330"/>
      <c r="G129" s="6"/>
    </row>
    <row r="130" spans="1:7" ht="13.9" hidden="1" customHeight="1" x14ac:dyDescent="0.2">
      <c r="A130" s="168" t="s">
        <v>207</v>
      </c>
      <c r="B130" s="268" t="s">
        <v>1</v>
      </c>
      <c r="C130" s="331">
        <v>70</v>
      </c>
      <c r="D130" s="329">
        <f>E126+E127</f>
        <v>0</v>
      </c>
      <c r="E130" s="329">
        <f>C130*D130/100</f>
        <v>0</v>
      </c>
      <c r="F130" s="316"/>
      <c r="G130" s="6"/>
    </row>
    <row r="131" spans="1:7" ht="13.9" hidden="1" customHeight="1" x14ac:dyDescent="0.2">
      <c r="A131" s="222" t="s">
        <v>208</v>
      </c>
      <c r="B131" s="332" t="s">
        <v>6</v>
      </c>
      <c r="C131" s="333">
        <f>C128*12</f>
        <v>24</v>
      </c>
      <c r="D131" s="334">
        <f>IF(C129&lt;=C128,E130,0)</f>
        <v>0</v>
      </c>
      <c r="E131" s="335">
        <f>IFERROR(D131/C131,0)</f>
        <v>0</v>
      </c>
      <c r="F131" s="316"/>
      <c r="G131" s="6"/>
    </row>
    <row r="132" spans="1:7" ht="13.9" hidden="1" customHeight="1" x14ac:dyDescent="0.2">
      <c r="A132" s="168"/>
      <c r="B132" s="268"/>
      <c r="C132" s="294"/>
      <c r="D132" s="329"/>
      <c r="E132" s="329"/>
      <c r="F132" s="316"/>
      <c r="G132" s="6"/>
    </row>
    <row r="133" spans="1:7" ht="13.9" hidden="1" customHeight="1" x14ac:dyDescent="0.2">
      <c r="A133" s="169" t="s">
        <v>209</v>
      </c>
      <c r="B133" s="337" t="s">
        <v>210</v>
      </c>
      <c r="C133" s="336">
        <f>C126</f>
        <v>0</v>
      </c>
      <c r="D133" s="325">
        <v>79</v>
      </c>
      <c r="E133" s="329">
        <f>C133*D133</f>
        <v>0</v>
      </c>
      <c r="F133" s="316"/>
      <c r="G133" s="6"/>
    </row>
    <row r="134" spans="1:7" ht="13.9" hidden="1" customHeight="1" x14ac:dyDescent="0.2">
      <c r="A134" s="168" t="s">
        <v>204</v>
      </c>
      <c r="B134" s="268" t="s">
        <v>211</v>
      </c>
      <c r="C134" s="327">
        <v>3</v>
      </c>
      <c r="D134" s="329"/>
      <c r="E134" s="329"/>
      <c r="F134" s="316"/>
      <c r="G134" s="6"/>
    </row>
    <row r="135" spans="1:7" ht="13.9" hidden="1" customHeight="1" x14ac:dyDescent="0.2">
      <c r="A135" s="338" t="s">
        <v>212</v>
      </c>
      <c r="B135" s="332" t="s">
        <v>6</v>
      </c>
      <c r="C135" s="333">
        <v>3</v>
      </c>
      <c r="D135" s="334"/>
      <c r="E135" s="335">
        <f>E133/C135</f>
        <v>0</v>
      </c>
      <c r="F135" s="316"/>
      <c r="G135" s="6"/>
    </row>
    <row r="136" spans="1:7" ht="13.9" hidden="1" customHeight="1" x14ac:dyDescent="0.2">
      <c r="A136" s="339"/>
      <c r="B136" s="268"/>
      <c r="C136" s="294"/>
      <c r="D136" s="329"/>
      <c r="E136" s="329"/>
      <c r="F136" s="316"/>
      <c r="G136" s="6"/>
    </row>
    <row r="137" spans="1:7" ht="13.9" hidden="1" customHeight="1" x14ac:dyDescent="0.2">
      <c r="A137" s="340" t="s">
        <v>213</v>
      </c>
      <c r="B137" s="341" t="s">
        <v>214</v>
      </c>
      <c r="C137" s="342">
        <v>0</v>
      </c>
      <c r="D137" s="343">
        <v>100</v>
      </c>
      <c r="E137" s="344">
        <f>C137*D137</f>
        <v>0</v>
      </c>
      <c r="F137" s="316"/>
      <c r="G137" s="6"/>
    </row>
    <row r="138" spans="1:7" ht="13.9" hidden="1" customHeight="1" x14ac:dyDescent="0.2">
      <c r="A138" s="340" t="s">
        <v>225</v>
      </c>
      <c r="B138" s="341" t="s">
        <v>223</v>
      </c>
      <c r="C138" s="342">
        <f>C126*2*C76</f>
        <v>0</v>
      </c>
      <c r="D138" s="343">
        <v>0.9</v>
      </c>
      <c r="E138" s="344">
        <f>C138*D138</f>
        <v>0</v>
      </c>
      <c r="F138" s="316"/>
      <c r="G138" s="6"/>
    </row>
    <row r="139" spans="1:7" ht="13.9" hidden="1" customHeight="1" x14ac:dyDescent="0.2">
      <c r="A139" s="168"/>
      <c r="B139" s="268"/>
      <c r="C139" s="329"/>
      <c r="D139" s="329"/>
      <c r="E139" s="329"/>
      <c r="F139" s="316"/>
      <c r="G139" s="6"/>
    </row>
    <row r="140" spans="1:7" ht="13.9" hidden="1" customHeight="1" thickBot="1" x14ac:dyDescent="0.25">
      <c r="A140" s="345" t="s">
        <v>215</v>
      </c>
      <c r="B140" s="346" t="s">
        <v>7</v>
      </c>
      <c r="C140" s="224"/>
      <c r="D140" s="329"/>
      <c r="E140" s="335">
        <f>E131+E135+E137+E138</f>
        <v>0</v>
      </c>
      <c r="F140" s="316"/>
      <c r="G140" s="6"/>
    </row>
    <row r="141" spans="1:7" ht="13.9" hidden="1" customHeight="1" thickBot="1" x14ac:dyDescent="0.25">
      <c r="A141" s="347"/>
      <c r="B141" s="347"/>
      <c r="C141" s="347"/>
      <c r="D141" s="348" t="s">
        <v>132</v>
      </c>
      <c r="E141" s="349">
        <v>1</v>
      </c>
      <c r="F141" s="322">
        <f>E140*E141</f>
        <v>0</v>
      </c>
      <c r="G141" s="6"/>
    </row>
    <row r="142" spans="1:7" ht="11.25" hidden="1" customHeight="1" x14ac:dyDescent="0.2">
      <c r="G142" s="6"/>
    </row>
    <row r="143" spans="1:7" ht="11.25" hidden="1" customHeight="1" thickBot="1" x14ac:dyDescent="0.25">
      <c r="A143" s="4"/>
      <c r="B143" s="4"/>
      <c r="C143" s="4"/>
      <c r="D143" s="173"/>
      <c r="E143" s="173"/>
      <c r="F143" s="173"/>
      <c r="G143" s="6"/>
    </row>
    <row r="144" spans="1:7" ht="15.6" hidden="1" customHeight="1" thickBot="1" x14ac:dyDescent="0.25">
      <c r="A144" s="14" t="s">
        <v>218</v>
      </c>
      <c r="B144" s="278"/>
      <c r="C144" s="278"/>
      <c r="D144" s="15"/>
      <c r="E144" s="279"/>
      <c r="F144" s="277">
        <f>F141</f>
        <v>0</v>
      </c>
      <c r="G144" s="6"/>
    </row>
    <row r="145" spans="1:7" ht="11.25" customHeight="1" x14ac:dyDescent="0.2">
      <c r="G145" s="6"/>
    </row>
    <row r="146" spans="1:7" ht="11.25" customHeight="1" thickBot="1" x14ac:dyDescent="0.25">
      <c r="A146" s="8" t="s">
        <v>241</v>
      </c>
      <c r="B146" s="4"/>
      <c r="C146" s="4"/>
      <c r="D146" s="173"/>
      <c r="E146" s="173"/>
      <c r="F146" s="173"/>
      <c r="G146" s="6"/>
    </row>
    <row r="147" spans="1:7" ht="11.25" hidden="1" customHeight="1" thickBot="1" x14ac:dyDescent="0.25">
      <c r="A147" s="4"/>
      <c r="B147" s="4"/>
      <c r="C147" s="4"/>
      <c r="D147" s="173"/>
      <c r="E147" s="173"/>
      <c r="F147" s="173"/>
      <c r="G147" s="6"/>
    </row>
    <row r="148" spans="1:7" ht="11.25" customHeight="1" thickBot="1" x14ac:dyDescent="0.25">
      <c r="A148" s="36" t="s">
        <v>20</v>
      </c>
      <c r="B148" s="37" t="s">
        <v>21</v>
      </c>
      <c r="C148" s="37" t="s">
        <v>12</v>
      </c>
      <c r="D148" s="38" t="s">
        <v>120</v>
      </c>
      <c r="E148" s="38" t="s">
        <v>22</v>
      </c>
      <c r="F148" s="39" t="s">
        <v>23</v>
      </c>
      <c r="G148" s="6"/>
    </row>
    <row r="149" spans="1:7" ht="13.15" customHeight="1" x14ac:dyDescent="0.2">
      <c r="A149" s="363" t="s">
        <v>242</v>
      </c>
      <c r="B149" s="341" t="s">
        <v>243</v>
      </c>
      <c r="C149" s="342">
        <f>21*20</f>
        <v>420</v>
      </c>
      <c r="D149" s="343">
        <v>2.4</v>
      </c>
      <c r="E149" s="344">
        <f>C149*D149</f>
        <v>1008</v>
      </c>
      <c r="F149" s="173"/>
      <c r="G149" s="6"/>
    </row>
    <row r="150" spans="1:7" ht="26.25" thickBot="1" x14ac:dyDescent="0.25">
      <c r="A150" s="363" t="s">
        <v>244</v>
      </c>
      <c r="B150" s="341" t="s">
        <v>214</v>
      </c>
      <c r="C150" s="342">
        <v>1</v>
      </c>
      <c r="D150" s="343">
        <v>2500</v>
      </c>
      <c r="E150" s="344">
        <f>C150*D150</f>
        <v>2500</v>
      </c>
      <c r="F150" s="173"/>
      <c r="G150" s="6"/>
    </row>
    <row r="151" spans="1:7" ht="11.25" hidden="1" customHeight="1" thickBot="1" x14ac:dyDescent="0.25">
      <c r="A151" s="168"/>
      <c r="B151" s="295"/>
      <c r="C151" s="294"/>
      <c r="D151" s="273"/>
      <c r="E151" s="287"/>
      <c r="F151" s="275"/>
      <c r="G151" s="6"/>
    </row>
    <row r="152" spans="1:7" ht="11.25" customHeight="1" thickBot="1" x14ac:dyDescent="0.25">
      <c r="A152" s="296"/>
      <c r="B152" s="296"/>
      <c r="C152" s="296"/>
      <c r="D152" s="297" t="s">
        <v>188</v>
      </c>
      <c r="E152" s="298">
        <v>1</v>
      </c>
      <c r="F152" s="299">
        <f>SUM(E149:E151)</f>
        <v>3508</v>
      </c>
      <c r="G152" s="6"/>
    </row>
    <row r="153" spans="1:7" ht="11.25" customHeight="1" x14ac:dyDescent="0.2">
      <c r="G153" s="6"/>
    </row>
    <row r="154" spans="1:7" ht="11.25" customHeight="1" thickBot="1" x14ac:dyDescent="0.25">
      <c r="G154" s="6"/>
    </row>
    <row r="155" spans="1:7" ht="11.25" customHeight="1" thickBot="1" x14ac:dyDescent="0.25">
      <c r="A155" s="14" t="s">
        <v>180</v>
      </c>
      <c r="B155" s="245"/>
      <c r="C155" s="245"/>
      <c r="D155" s="246"/>
      <c r="E155" s="247"/>
      <c r="F155" s="280">
        <f>F102+F121+F144+F152</f>
        <v>227851.19173101426</v>
      </c>
      <c r="G155" s="6"/>
    </row>
    <row r="156" spans="1:7" ht="11.25" customHeight="1" x14ac:dyDescent="0.2">
      <c r="G156" s="6"/>
    </row>
    <row r="157" spans="1:7" ht="13.5" thickBot="1" x14ac:dyDescent="0.25">
      <c r="A157" s="20" t="s">
        <v>195</v>
      </c>
      <c r="B157" s="20"/>
      <c r="C157" s="20"/>
      <c r="D157" s="21"/>
      <c r="E157" s="21"/>
      <c r="F157" s="19"/>
    </row>
    <row r="158" spans="1:7" x14ac:dyDescent="0.2">
      <c r="A158" s="52" t="s">
        <v>20</v>
      </c>
      <c r="B158" s="53" t="s">
        <v>21</v>
      </c>
      <c r="C158" s="53" t="s">
        <v>12</v>
      </c>
      <c r="D158" s="54" t="s">
        <v>120</v>
      </c>
      <c r="E158" s="54" t="s">
        <v>22</v>
      </c>
      <c r="F158" s="195" t="s">
        <v>23</v>
      </c>
    </row>
    <row r="159" spans="1:7" x14ac:dyDescent="0.2">
      <c r="A159" s="192" t="s">
        <v>9</v>
      </c>
      <c r="B159" s="224" t="s">
        <v>1</v>
      </c>
      <c r="C159" s="310">
        <f>'4. BDI'!C17</f>
        <v>0.2039</v>
      </c>
      <c r="D159" s="193">
        <f>F155</f>
        <v>227851.19173101426</v>
      </c>
      <c r="E159" s="193">
        <f>D159*C159</f>
        <v>46458.85799395381</v>
      </c>
      <c r="F159" s="194"/>
    </row>
    <row r="160" spans="1:7" ht="13.5" thickBot="1" x14ac:dyDescent="0.25">
      <c r="A160" s="190"/>
      <c r="B160" s="190"/>
      <c r="C160" s="190"/>
      <c r="D160" s="190"/>
      <c r="E160" s="190"/>
      <c r="F160" s="191"/>
    </row>
    <row r="161" spans="1:7" ht="13.5" thickBot="1" x14ac:dyDescent="0.25">
      <c r="A161" s="364" t="s">
        <v>197</v>
      </c>
      <c r="B161" s="365"/>
      <c r="C161" s="365"/>
      <c r="D161" s="365"/>
      <c r="E161" s="366"/>
      <c r="F161" s="181">
        <f>E159</f>
        <v>46458.85799395381</v>
      </c>
    </row>
    <row r="162" spans="1:7" ht="11.25" customHeight="1" thickBot="1" x14ac:dyDescent="0.25"/>
    <row r="163" spans="1:7" ht="24.75" customHeight="1" thickBot="1" x14ac:dyDescent="0.25">
      <c r="A163" s="14" t="s">
        <v>135</v>
      </c>
      <c r="B163" s="16"/>
      <c r="C163" s="16"/>
      <c r="D163" s="17"/>
      <c r="E163" s="18"/>
      <c r="F163" s="183">
        <f>F102+F121+F144+F161+F152</f>
        <v>274310.04972496809</v>
      </c>
    </row>
    <row r="164" spans="1:7" ht="13.5" customHeight="1" thickBot="1" x14ac:dyDescent="0.25">
      <c r="A164" s="20"/>
      <c r="B164" s="32"/>
      <c r="C164" s="32"/>
      <c r="D164" s="35"/>
      <c r="E164" s="35"/>
      <c r="F164" s="248"/>
    </row>
    <row r="165" spans="1:7" ht="13.5" customHeight="1" thickBot="1" x14ac:dyDescent="0.25">
      <c r="A165" s="14" t="s">
        <v>157</v>
      </c>
      <c r="B165" s="245"/>
      <c r="C165" s="245"/>
      <c r="D165" s="246"/>
      <c r="E165" s="247"/>
      <c r="F165" s="183">
        <f>F163/C118</f>
        <v>3657.4673296662413</v>
      </c>
    </row>
    <row r="166" spans="1:7" ht="12.6" customHeight="1" x14ac:dyDescent="0.2">
      <c r="A166" s="33"/>
      <c r="B166" s="33"/>
      <c r="C166" s="33"/>
      <c r="D166" s="34"/>
      <c r="E166" s="34"/>
      <c r="F166" s="34"/>
      <c r="G166" s="237"/>
    </row>
    <row r="167" spans="1:7" x14ac:dyDescent="0.2">
      <c r="A167" s="8" t="s">
        <v>196</v>
      </c>
      <c r="B167" s="4"/>
      <c r="C167" s="4"/>
      <c r="D167" s="173"/>
      <c r="E167" s="173"/>
      <c r="F167" s="306"/>
    </row>
    <row r="168" spans="1:7" x14ac:dyDescent="0.2">
      <c r="F168" s="307"/>
    </row>
    <row r="169" spans="1:7" x14ac:dyDescent="0.2">
      <c r="F169" s="308"/>
    </row>
    <row r="170" spans="1:7" x14ac:dyDescent="0.2">
      <c r="F170" s="188"/>
    </row>
    <row r="194" spans="4:7" ht="9" customHeight="1" x14ac:dyDescent="0.2">
      <c r="D194" s="6"/>
      <c r="E194" s="6"/>
      <c r="F194" s="6"/>
      <c r="G194" s="6"/>
    </row>
  </sheetData>
  <mergeCells count="13">
    <mergeCell ref="A161:E161"/>
    <mergeCell ref="A1:F1"/>
    <mergeCell ref="A2:F3"/>
    <mergeCell ref="A4:F4"/>
    <mergeCell ref="A6:F6"/>
    <mergeCell ref="A16:C16"/>
    <mergeCell ref="A29:E29"/>
    <mergeCell ref="A30:D30"/>
    <mergeCell ref="A43:F43"/>
    <mergeCell ref="A52:D52"/>
    <mergeCell ref="A61:C61"/>
    <mergeCell ref="A118:B118"/>
    <mergeCell ref="A71:C71"/>
  </mergeCells>
  <hyperlinks>
    <hyperlink ref="A124" location="AbaDeprec" display="3.1.1. Depreciação"/>
  </hyperlinks>
  <printOptions horizontalCentered="1"/>
  <pageMargins left="0.9055118110236221" right="0.70866141732283472" top="0.74803149606299213" bottom="0.55118110236220474" header="0.31496062992125984" footer="0.31496062992125984"/>
  <pageSetup paperSize="9" scale="68" fitToHeight="2" orientation="portrait" verticalDpi="300" r:id="rId1"/>
  <headerFooter alignWithMargins="0">
    <oddFooter>&amp;R&amp;P de &amp;N</oddFooter>
  </headerFooter>
  <rowBreaks count="1" manualBreakCount="1">
    <brk id="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C22" sqref="C22"/>
    </sheetView>
  </sheetViews>
  <sheetFormatPr defaultColWidth="9.140625" defaultRowHeight="12.75" x14ac:dyDescent="0.2"/>
  <cols>
    <col min="1" max="1" width="13.5703125" style="1" customWidth="1"/>
    <col min="2" max="2" width="42.7109375" style="1" customWidth="1"/>
    <col min="3" max="3" width="14.5703125" style="1" customWidth="1"/>
    <col min="4" max="9" width="9.140625" style="1"/>
    <col min="10" max="10" width="11" style="1" bestFit="1" customWidth="1"/>
    <col min="11" max="16384" width="9.140625" style="1"/>
  </cols>
  <sheetData>
    <row r="1" spans="1:11" x14ac:dyDescent="0.2">
      <c r="A1" s="8" t="s">
        <v>111</v>
      </c>
    </row>
    <row r="2" spans="1:11" x14ac:dyDescent="0.2">
      <c r="A2" s="65" t="s">
        <v>126</v>
      </c>
    </row>
    <row r="3" spans="1:11" ht="13.5" thickBot="1" x14ac:dyDescent="0.25"/>
    <row r="4" spans="1:11" ht="18" x14ac:dyDescent="0.2">
      <c r="A4" s="391" t="s">
        <v>219</v>
      </c>
      <c r="B4" s="392"/>
      <c r="C4" s="393"/>
      <c r="D4" s="70"/>
      <c r="E4" s="70"/>
    </row>
    <row r="5" spans="1:11" ht="14.25" x14ac:dyDescent="0.2">
      <c r="A5" s="86" t="s">
        <v>58</v>
      </c>
      <c r="B5" s="87" t="s">
        <v>59</v>
      </c>
      <c r="C5" s="88" t="s">
        <v>60</v>
      </c>
    </row>
    <row r="6" spans="1:11" ht="14.25" x14ac:dyDescent="0.2">
      <c r="A6" s="86" t="s">
        <v>61</v>
      </c>
      <c r="B6" s="87" t="s">
        <v>13</v>
      </c>
      <c r="C6" s="90">
        <v>0.2</v>
      </c>
      <c r="E6" s="77"/>
      <c r="F6" s="77"/>
      <c r="G6" s="77"/>
      <c r="H6" s="77"/>
      <c r="I6" s="77"/>
      <c r="J6" s="77"/>
      <c r="K6" s="77"/>
    </row>
    <row r="7" spans="1:11" ht="14.25" x14ac:dyDescent="0.2">
      <c r="A7" s="86" t="s">
        <v>62</v>
      </c>
      <c r="B7" s="87" t="s">
        <v>63</v>
      </c>
      <c r="C7" s="90">
        <v>1.4999999999999999E-2</v>
      </c>
      <c r="E7" s="77"/>
      <c r="F7" s="77"/>
      <c r="G7" s="77"/>
      <c r="H7" s="77"/>
      <c r="I7" s="77"/>
      <c r="J7" s="77"/>
      <c r="K7" s="77"/>
    </row>
    <row r="8" spans="1:11" ht="14.25" x14ac:dyDescent="0.2">
      <c r="A8" s="86" t="s">
        <v>64</v>
      </c>
      <c r="B8" s="87" t="s">
        <v>65</v>
      </c>
      <c r="C8" s="90">
        <v>0.01</v>
      </c>
      <c r="E8" s="77"/>
      <c r="F8" s="77"/>
      <c r="G8" s="77"/>
      <c r="H8" s="77"/>
      <c r="I8" s="77"/>
      <c r="J8" s="77"/>
      <c r="K8" s="77"/>
    </row>
    <row r="9" spans="1:11" ht="14.25" x14ac:dyDescent="0.2">
      <c r="A9" s="86" t="s">
        <v>66</v>
      </c>
      <c r="B9" s="87" t="s">
        <v>67</v>
      </c>
      <c r="C9" s="90">
        <v>2E-3</v>
      </c>
      <c r="E9" s="77"/>
      <c r="F9" s="77"/>
      <c r="G9" s="77"/>
      <c r="H9" s="77"/>
      <c r="I9" s="77"/>
      <c r="J9" s="77"/>
      <c r="K9" s="77"/>
    </row>
    <row r="10" spans="1:11" ht="14.25" x14ac:dyDescent="0.2">
      <c r="A10" s="86" t="s">
        <v>68</v>
      </c>
      <c r="B10" s="87" t="s">
        <v>69</v>
      </c>
      <c r="C10" s="90">
        <v>6.0000000000000001E-3</v>
      </c>
      <c r="E10" s="77"/>
      <c r="F10" s="77"/>
      <c r="G10" s="77"/>
      <c r="H10" s="77"/>
      <c r="I10" s="77"/>
      <c r="J10" s="77"/>
      <c r="K10" s="77"/>
    </row>
    <row r="11" spans="1:11" ht="14.25" x14ac:dyDescent="0.2">
      <c r="A11" s="86" t="s">
        <v>70</v>
      </c>
      <c r="B11" s="87" t="s">
        <v>71</v>
      </c>
      <c r="C11" s="90">
        <v>2.5000000000000001E-2</v>
      </c>
      <c r="E11" s="77"/>
      <c r="F11" s="77"/>
      <c r="G11" s="77"/>
      <c r="H11" s="77"/>
      <c r="I11" s="77"/>
      <c r="J11" s="77"/>
      <c r="K11" s="77"/>
    </row>
    <row r="12" spans="1:11" ht="14.25" x14ac:dyDescent="0.2">
      <c r="A12" s="86" t="s">
        <v>72</v>
      </c>
      <c r="B12" s="87" t="s">
        <v>151</v>
      </c>
      <c r="C12" s="90">
        <v>0.03</v>
      </c>
      <c r="E12" s="77"/>
      <c r="F12" s="77"/>
      <c r="G12" s="77"/>
      <c r="H12" s="77"/>
      <c r="I12" s="77"/>
      <c r="J12" s="77"/>
      <c r="K12" s="77"/>
    </row>
    <row r="13" spans="1:11" ht="14.25" x14ac:dyDescent="0.2">
      <c r="A13" s="86" t="s">
        <v>73</v>
      </c>
      <c r="B13" s="87" t="s">
        <v>14</v>
      </c>
      <c r="C13" s="90">
        <v>0.08</v>
      </c>
      <c r="E13" s="77"/>
      <c r="F13" s="77"/>
      <c r="G13" s="77"/>
      <c r="H13" s="77"/>
      <c r="I13" s="77"/>
      <c r="J13" s="77"/>
      <c r="K13" s="77"/>
    </row>
    <row r="14" spans="1:11" ht="15" x14ac:dyDescent="0.2">
      <c r="A14" s="86" t="s">
        <v>74</v>
      </c>
      <c r="B14" s="92" t="s">
        <v>75</v>
      </c>
      <c r="C14" s="93">
        <f>SUM(C6:C13)</f>
        <v>0.36800000000000005</v>
      </c>
      <c r="E14" s="77"/>
      <c r="F14" s="77"/>
      <c r="G14" s="77"/>
      <c r="H14" s="77"/>
      <c r="I14" s="77"/>
      <c r="J14" s="77"/>
      <c r="K14" s="77"/>
    </row>
    <row r="15" spans="1:11" ht="15" x14ac:dyDescent="0.2">
      <c r="A15" s="94"/>
      <c r="B15" s="95"/>
      <c r="C15" s="96"/>
      <c r="E15" s="77"/>
      <c r="F15" s="77"/>
      <c r="G15" s="77"/>
      <c r="H15" s="77"/>
      <c r="I15" s="77"/>
      <c r="J15" s="77"/>
      <c r="K15" s="77"/>
    </row>
    <row r="16" spans="1:11" ht="14.25" x14ac:dyDescent="0.2">
      <c r="A16" s="86" t="s">
        <v>76</v>
      </c>
      <c r="B16" s="97" t="s">
        <v>77</v>
      </c>
      <c r="C16" s="90">
        <f>ROUND(IF('3. CAGED'!C39&gt;24,(1-12/'3. CAGED'!C39)*0.1111,0.1111-C25),4)</f>
        <v>6.0499999999999998E-2</v>
      </c>
      <c r="E16" s="77"/>
      <c r="F16" s="77"/>
      <c r="G16" s="77"/>
      <c r="H16" s="77"/>
      <c r="I16" s="77"/>
      <c r="J16" s="77"/>
      <c r="K16" s="77"/>
    </row>
    <row r="17" spans="1:11" ht="14.25" x14ac:dyDescent="0.2">
      <c r="A17" s="86" t="s">
        <v>78</v>
      </c>
      <c r="B17" s="97" t="s">
        <v>79</v>
      </c>
      <c r="C17" s="90">
        <f>ROUND('3. CAGED'!C33/'3. CAGED'!C30,4)</f>
        <v>8.3299999999999999E-2</v>
      </c>
      <c r="E17" s="77"/>
      <c r="F17" s="77"/>
      <c r="G17" s="77"/>
      <c r="H17" s="77"/>
      <c r="I17" s="77"/>
      <c r="J17" s="77"/>
      <c r="K17" s="77"/>
    </row>
    <row r="18" spans="1:11" ht="14.25" x14ac:dyDescent="0.2">
      <c r="A18" s="86" t="s">
        <v>119</v>
      </c>
      <c r="B18" s="97" t="s">
        <v>177</v>
      </c>
      <c r="C18" s="90">
        <v>5.9999999999999995E-4</v>
      </c>
      <c r="E18" s="77"/>
      <c r="F18" s="77"/>
      <c r="G18" s="77"/>
      <c r="H18" s="77"/>
      <c r="I18" s="77"/>
      <c r="J18" s="77"/>
      <c r="K18" s="77"/>
    </row>
    <row r="19" spans="1:11" ht="14.25" x14ac:dyDescent="0.2">
      <c r="A19" s="86" t="s">
        <v>80</v>
      </c>
      <c r="B19" s="97" t="s">
        <v>82</v>
      </c>
      <c r="C19" s="90">
        <v>5.0000000000000001E-3</v>
      </c>
      <c r="E19" s="77"/>
      <c r="F19" s="77"/>
      <c r="G19" s="77"/>
      <c r="H19" s="77"/>
      <c r="I19" s="77"/>
      <c r="J19" s="77"/>
      <c r="K19" s="77"/>
    </row>
    <row r="20" spans="1:11" ht="15" customHeight="1" x14ac:dyDescent="0.2">
      <c r="A20" s="86" t="s">
        <v>81</v>
      </c>
      <c r="B20" s="97" t="s">
        <v>84</v>
      </c>
      <c r="C20" s="90">
        <v>3.0999999999999999E-3</v>
      </c>
      <c r="E20" s="77"/>
      <c r="F20" s="77"/>
      <c r="G20" s="77"/>
      <c r="H20" s="77"/>
      <c r="I20" s="77"/>
      <c r="J20" s="77"/>
      <c r="K20" s="77"/>
    </row>
    <row r="21" spans="1:11" ht="14.25" x14ac:dyDescent="0.2">
      <c r="A21" s="86" t="s">
        <v>83</v>
      </c>
      <c r="B21" s="97" t="s">
        <v>85</v>
      </c>
      <c r="C21" s="90">
        <v>5.0000000000000001E-3</v>
      </c>
      <c r="E21" s="77"/>
      <c r="F21" s="77"/>
      <c r="G21" s="77"/>
      <c r="H21" s="77"/>
      <c r="I21" s="77"/>
      <c r="J21" s="77"/>
      <c r="K21" s="77"/>
    </row>
    <row r="22" spans="1:11" ht="15" x14ac:dyDescent="0.2">
      <c r="A22" s="86" t="s">
        <v>86</v>
      </c>
      <c r="B22" s="92" t="s">
        <v>87</v>
      </c>
      <c r="C22" s="93">
        <f>SUM(C16:C21)</f>
        <v>0.15749999999999997</v>
      </c>
      <c r="E22" s="77"/>
      <c r="F22" s="77"/>
      <c r="G22" s="77"/>
      <c r="H22" s="77"/>
      <c r="I22" s="77"/>
      <c r="J22" s="77"/>
      <c r="K22" s="77"/>
    </row>
    <row r="23" spans="1:11" ht="15" x14ac:dyDescent="0.2">
      <c r="A23" s="94"/>
      <c r="B23" s="95"/>
      <c r="C23" s="96"/>
      <c r="E23" s="77"/>
      <c r="F23" s="77"/>
      <c r="G23" s="77"/>
      <c r="H23" s="77"/>
      <c r="I23" s="77"/>
      <c r="J23" s="77"/>
      <c r="K23" s="77"/>
    </row>
    <row r="24" spans="1:11" ht="14.25" x14ac:dyDescent="0.2">
      <c r="A24" s="86" t="s">
        <v>88</v>
      </c>
      <c r="B24" s="87" t="s">
        <v>89</v>
      </c>
      <c r="C24" s="90">
        <v>2.5000000000000001E-2</v>
      </c>
      <c r="D24" s="98"/>
      <c r="E24" s="77"/>
      <c r="F24" s="77"/>
      <c r="G24" s="77"/>
      <c r="H24" s="77"/>
      <c r="I24" s="77"/>
      <c r="J24" s="77"/>
      <c r="K24" s="77"/>
    </row>
    <row r="25" spans="1:11" ht="14.25" x14ac:dyDescent="0.2">
      <c r="A25" s="86" t="s">
        <v>118</v>
      </c>
      <c r="B25" s="87" t="s">
        <v>91</v>
      </c>
      <c r="C25" s="90">
        <v>5.0599999999999999E-2</v>
      </c>
      <c r="E25" s="77"/>
      <c r="F25" s="77"/>
      <c r="G25" s="99"/>
      <c r="H25" s="77"/>
      <c r="I25" s="77"/>
      <c r="J25" s="77"/>
      <c r="K25" s="77"/>
    </row>
    <row r="26" spans="1:11" ht="14.25" x14ac:dyDescent="0.2">
      <c r="A26" s="86" t="s">
        <v>90</v>
      </c>
      <c r="B26" s="87" t="s">
        <v>93</v>
      </c>
      <c r="C26" s="90">
        <v>4.1000000000000003E-3</v>
      </c>
      <c r="E26" s="77"/>
      <c r="F26" s="77"/>
      <c r="G26" s="77"/>
      <c r="H26" s="77"/>
      <c r="I26" s="77"/>
      <c r="J26" s="77"/>
      <c r="K26" s="77"/>
    </row>
    <row r="27" spans="1:11" ht="14.25" x14ac:dyDescent="0.2">
      <c r="A27" s="86" t="s">
        <v>92</v>
      </c>
      <c r="B27" s="87" t="s">
        <v>95</v>
      </c>
      <c r="C27" s="90">
        <v>2.5000000000000001E-2</v>
      </c>
      <c r="E27" s="77"/>
      <c r="F27" s="100"/>
      <c r="G27" s="77"/>
      <c r="H27" s="77"/>
      <c r="I27" s="77"/>
      <c r="J27" s="77"/>
      <c r="K27" s="77"/>
    </row>
    <row r="28" spans="1:11" ht="14.25" x14ac:dyDescent="0.2">
      <c r="A28" s="86" t="s">
        <v>94</v>
      </c>
      <c r="B28" s="87" t="s">
        <v>96</v>
      </c>
      <c r="C28" s="90">
        <v>2.5999999999999999E-3</v>
      </c>
      <c r="E28" s="77"/>
      <c r="F28" s="77"/>
      <c r="G28" s="77"/>
      <c r="H28" s="77"/>
      <c r="I28" s="77"/>
      <c r="J28" s="77"/>
      <c r="K28" s="77"/>
    </row>
    <row r="29" spans="1:11" ht="15" x14ac:dyDescent="0.2">
      <c r="A29" s="86" t="s">
        <v>97</v>
      </c>
      <c r="B29" s="92" t="s">
        <v>98</v>
      </c>
      <c r="C29" s="93">
        <f>SUM(C24:C28)</f>
        <v>0.10730000000000002</v>
      </c>
      <c r="E29" s="77"/>
      <c r="F29" s="77"/>
      <c r="G29" s="77"/>
      <c r="H29" s="77"/>
      <c r="I29" s="77"/>
      <c r="J29" s="77"/>
      <c r="K29" s="77"/>
    </row>
    <row r="30" spans="1:11" ht="15" x14ac:dyDescent="0.2">
      <c r="A30" s="94"/>
      <c r="B30" s="95"/>
      <c r="C30" s="96"/>
      <c r="E30" s="77"/>
      <c r="F30" s="77"/>
      <c r="G30" s="77"/>
      <c r="H30" s="77"/>
      <c r="I30" s="77"/>
      <c r="J30" s="77"/>
      <c r="K30" s="77"/>
    </row>
    <row r="31" spans="1:11" ht="14.25" x14ac:dyDescent="0.2">
      <c r="A31" s="86" t="s">
        <v>99</v>
      </c>
      <c r="B31" s="87" t="s">
        <v>100</v>
      </c>
      <c r="C31" s="90">
        <f>ROUND(C14*C22,4)</f>
        <v>5.8000000000000003E-2</v>
      </c>
      <c r="E31" s="77"/>
      <c r="F31" s="77"/>
      <c r="G31" s="77"/>
      <c r="H31" s="77"/>
      <c r="I31" s="77"/>
      <c r="J31" s="77"/>
      <c r="K31" s="77"/>
    </row>
    <row r="32" spans="1:11" ht="28.5" x14ac:dyDescent="0.2">
      <c r="A32" s="86" t="s">
        <v>101</v>
      </c>
      <c r="B32" s="101" t="s">
        <v>102</v>
      </c>
      <c r="C32" s="90">
        <f>ROUND((C24*C14),4)</f>
        <v>9.1999999999999998E-3</v>
      </c>
      <c r="E32" s="77"/>
      <c r="F32" s="77"/>
      <c r="G32" s="77"/>
      <c r="H32" s="77"/>
      <c r="I32" s="77"/>
      <c r="J32" s="77"/>
      <c r="K32" s="77"/>
    </row>
    <row r="33" spans="1:11" ht="15" x14ac:dyDescent="0.2">
      <c r="A33" s="86" t="s">
        <v>103</v>
      </c>
      <c r="B33" s="92" t="s">
        <v>104</v>
      </c>
      <c r="C33" s="93">
        <f>SUM(C31:C32)</f>
        <v>6.720000000000001E-2</v>
      </c>
      <c r="E33" s="77"/>
      <c r="F33" s="77"/>
      <c r="G33" s="77"/>
      <c r="H33" s="77"/>
      <c r="I33" s="77"/>
      <c r="J33" s="77"/>
      <c r="K33" s="77"/>
    </row>
    <row r="34" spans="1:11" ht="15.75" thickBot="1" x14ac:dyDescent="0.25">
      <c r="A34" s="103"/>
      <c r="B34" s="104" t="s">
        <v>105</v>
      </c>
      <c r="C34" s="105">
        <f>C33+C29+C22+C14</f>
        <v>0.70000000000000007</v>
      </c>
      <c r="E34" s="77"/>
      <c r="F34" s="77"/>
      <c r="G34" s="77"/>
      <c r="H34" s="77"/>
      <c r="I34" s="77"/>
      <c r="J34" s="77"/>
      <c r="K34" s="77"/>
    </row>
    <row r="35" spans="1:11" ht="15" x14ac:dyDescent="0.2">
      <c r="A35" s="91"/>
      <c r="B35" s="106"/>
      <c r="C35" s="107"/>
      <c r="E35" s="77"/>
      <c r="F35" s="77"/>
      <c r="G35" s="77"/>
      <c r="H35" s="77"/>
      <c r="I35" s="77"/>
      <c r="J35" s="77"/>
      <c r="K35" s="77"/>
    </row>
    <row r="36" spans="1:11" ht="14.25" x14ac:dyDescent="0.2">
      <c r="A36" s="91"/>
      <c r="B36" s="91"/>
      <c r="C36" s="108"/>
      <c r="E36" s="77"/>
      <c r="F36" s="77"/>
      <c r="G36" s="77"/>
      <c r="H36" s="77"/>
      <c r="I36" s="77"/>
      <c r="J36" s="77"/>
      <c r="K36" s="77"/>
    </row>
    <row r="37" spans="1:11" ht="14.25" x14ac:dyDescent="0.2">
      <c r="A37" s="89"/>
      <c r="B37" s="89"/>
      <c r="C37" s="109"/>
      <c r="E37" s="77"/>
      <c r="F37" s="77"/>
      <c r="G37" s="77"/>
      <c r="H37" s="77"/>
      <c r="I37" s="77"/>
      <c r="J37" s="77"/>
      <c r="K37" s="77"/>
    </row>
    <row r="38" spans="1:11" ht="14.25" x14ac:dyDescent="0.2">
      <c r="A38" s="89"/>
      <c r="B38" s="89"/>
      <c r="C38" s="109"/>
      <c r="E38" s="77"/>
      <c r="F38" s="77"/>
      <c r="G38" s="77"/>
      <c r="H38" s="77"/>
      <c r="I38" s="77"/>
      <c r="J38" s="77"/>
      <c r="K38" s="77"/>
    </row>
    <row r="39" spans="1:11" ht="14.25" x14ac:dyDescent="0.2">
      <c r="A39" s="89"/>
      <c r="B39" s="89"/>
      <c r="C39" s="109"/>
      <c r="E39" s="77"/>
      <c r="F39" s="77"/>
      <c r="G39" s="77"/>
      <c r="H39" s="77"/>
      <c r="I39" s="77"/>
      <c r="J39" s="77"/>
      <c r="K39" s="77"/>
    </row>
    <row r="40" spans="1:11" ht="15" x14ac:dyDescent="0.2">
      <c r="A40" s="89"/>
      <c r="B40" s="110"/>
      <c r="C40" s="111"/>
      <c r="E40" s="77"/>
      <c r="F40" s="77"/>
      <c r="G40" s="77"/>
      <c r="H40" s="77"/>
      <c r="I40" s="77"/>
      <c r="J40" s="77"/>
      <c r="K40" s="77"/>
    </row>
    <row r="41" spans="1:11" ht="15" x14ac:dyDescent="0.2">
      <c r="A41" s="102"/>
      <c r="B41" s="110"/>
      <c r="C41" s="111"/>
      <c r="D41" s="77"/>
      <c r="E41" s="77"/>
      <c r="F41" s="77"/>
      <c r="G41" s="77"/>
      <c r="H41" s="77"/>
      <c r="I41" s="77"/>
      <c r="J41" s="77"/>
      <c r="K41" s="77"/>
    </row>
    <row r="42" spans="1:11" ht="16.5" x14ac:dyDescent="0.2">
      <c r="A42" s="112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x14ac:dyDescent="0.2">
      <c r="A43" s="113"/>
      <c r="B43" s="114"/>
      <c r="C43" s="114"/>
      <c r="D43" s="77"/>
      <c r="E43" s="77"/>
      <c r="F43" s="77"/>
      <c r="G43" s="77"/>
      <c r="H43" s="77"/>
      <c r="I43" s="77"/>
      <c r="J43" s="77"/>
      <c r="K43" s="77"/>
    </row>
    <row r="44" spans="1:11" ht="14.25" x14ac:dyDescent="0.2">
      <c r="A44" s="89"/>
      <c r="B44" s="115"/>
      <c r="C44" s="114"/>
      <c r="D44" s="77"/>
      <c r="E44" s="77"/>
      <c r="F44" s="77"/>
      <c r="G44" s="77"/>
      <c r="H44" s="77"/>
      <c r="I44" s="77"/>
      <c r="J44" s="77"/>
      <c r="K44" s="77"/>
    </row>
    <row r="45" spans="1:11" ht="14.25" x14ac:dyDescent="0.2">
      <c r="A45" s="89"/>
      <c r="B45" s="115"/>
      <c r="C45" s="89"/>
      <c r="D45" s="77"/>
      <c r="E45" s="77"/>
      <c r="F45" s="77"/>
      <c r="G45" s="77"/>
      <c r="H45" s="77"/>
      <c r="I45" s="77"/>
      <c r="J45" s="77"/>
      <c r="K45" s="77"/>
    </row>
    <row r="46" spans="1:11" ht="14.25" x14ac:dyDescent="0.2">
      <c r="A46" s="89"/>
      <c r="B46" s="109"/>
      <c r="C46" s="114"/>
      <c r="D46" s="77"/>
      <c r="E46" s="77"/>
      <c r="F46" s="77"/>
      <c r="G46" s="77"/>
      <c r="H46" s="77"/>
      <c r="I46" s="77"/>
      <c r="J46" s="77"/>
      <c r="K46" s="77"/>
    </row>
    <row r="47" spans="1:11" ht="14.25" x14ac:dyDescent="0.2">
      <c r="A47" s="89"/>
      <c r="B47" s="115"/>
      <c r="C47" s="89"/>
      <c r="D47" s="77"/>
      <c r="E47" s="77"/>
      <c r="F47" s="77"/>
      <c r="G47" s="77"/>
      <c r="H47" s="77"/>
      <c r="I47" s="77"/>
      <c r="J47" s="77"/>
      <c r="K47" s="77"/>
    </row>
    <row r="48" spans="1:11" ht="14.25" x14ac:dyDescent="0.2">
      <c r="A48" s="89"/>
      <c r="B48" s="109"/>
      <c r="C48" s="114"/>
      <c r="D48" s="77"/>
      <c r="E48" s="77"/>
      <c r="F48" s="77"/>
      <c r="G48" s="77"/>
      <c r="H48" s="77"/>
      <c r="I48" s="77"/>
      <c r="J48" s="77"/>
      <c r="K48" s="77"/>
    </row>
    <row r="49" spans="1:11" ht="14.25" x14ac:dyDescent="0.2">
      <c r="A49" s="89"/>
      <c r="B49" s="115"/>
      <c r="C49" s="89"/>
      <c r="D49" s="77"/>
      <c r="E49" s="77"/>
      <c r="F49" s="77"/>
      <c r="G49" s="77"/>
      <c r="H49" s="77"/>
      <c r="I49" s="77"/>
      <c r="J49" s="77"/>
      <c r="K49" s="77"/>
    </row>
    <row r="50" spans="1:11" ht="14.25" x14ac:dyDescent="0.2">
      <c r="A50" s="89"/>
      <c r="B50" s="109"/>
      <c r="C50" s="114"/>
      <c r="D50" s="77"/>
      <c r="E50" s="77"/>
      <c r="F50" s="77"/>
      <c r="G50" s="77"/>
      <c r="H50" s="77"/>
      <c r="I50" s="77"/>
      <c r="J50" s="77"/>
      <c r="K50" s="77"/>
    </row>
    <row r="51" spans="1:11" ht="14.25" x14ac:dyDescent="0.2">
      <c r="A51" s="89"/>
      <c r="B51" s="115"/>
      <c r="C51" s="89"/>
      <c r="D51" s="77"/>
      <c r="E51" s="77"/>
      <c r="F51" s="77"/>
      <c r="G51" s="77"/>
      <c r="H51" s="77"/>
      <c r="I51" s="77"/>
      <c r="J51" s="77"/>
      <c r="K51" s="77"/>
    </row>
    <row r="52" spans="1:11" ht="14.25" x14ac:dyDescent="0.2">
      <c r="A52" s="89"/>
      <c r="B52" s="109"/>
      <c r="C52" s="114"/>
      <c r="D52" s="77"/>
      <c r="E52" s="77"/>
      <c r="F52" s="77"/>
      <c r="G52" s="77"/>
      <c r="H52" s="77"/>
      <c r="I52" s="77"/>
      <c r="J52" s="77"/>
      <c r="K52" s="77"/>
    </row>
    <row r="53" spans="1:11" ht="16.5" x14ac:dyDescent="0.2">
      <c r="A53" s="112"/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 x14ac:dyDescent="0.2">
      <c r="A56" s="116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x14ac:dyDescent="0.2">
      <c r="A57" s="77"/>
      <c r="B57" s="77"/>
      <c r="C57" s="77"/>
      <c r="D57" s="77"/>
    </row>
    <row r="58" spans="1:11" x14ac:dyDescent="0.2">
      <c r="A58" s="77"/>
      <c r="B58" s="77"/>
      <c r="C58" s="77"/>
      <c r="D58" s="77"/>
    </row>
    <row r="59" spans="1:11" x14ac:dyDescent="0.2">
      <c r="A59" s="77"/>
      <c r="B59" s="77"/>
      <c r="C59" s="77"/>
      <c r="D59" s="77"/>
    </row>
    <row r="60" spans="1:11" x14ac:dyDescent="0.2">
      <c r="A60" s="77"/>
      <c r="B60" s="77"/>
      <c r="C60" s="77"/>
      <c r="D60" s="77"/>
    </row>
    <row r="61" spans="1:11" x14ac:dyDescent="0.2">
      <c r="A61" s="77"/>
      <c r="B61" s="77"/>
      <c r="C61" s="77"/>
      <c r="D61" s="77"/>
    </row>
    <row r="62" spans="1:11" x14ac:dyDescent="0.2">
      <c r="A62" s="77"/>
      <c r="B62" s="77"/>
      <c r="C62" s="77"/>
      <c r="D62" s="77"/>
    </row>
    <row r="63" spans="1:11" x14ac:dyDescent="0.2">
      <c r="A63" s="77"/>
      <c r="B63" s="77"/>
      <c r="C63" s="77"/>
      <c r="D63" s="77"/>
    </row>
    <row r="64" spans="1:11" x14ac:dyDescent="0.2">
      <c r="A64" s="77"/>
      <c r="B64" s="77"/>
      <c r="C64" s="77"/>
      <c r="D64" s="77"/>
    </row>
    <row r="65" spans="1:4" x14ac:dyDescent="0.2">
      <c r="A65" s="77"/>
      <c r="B65" s="77"/>
      <c r="C65" s="77"/>
      <c r="D65" s="77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C129" sqref="C129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51" t="s">
        <v>158</v>
      </c>
    </row>
    <row r="3" spans="1:3" x14ac:dyDescent="0.2">
      <c r="A3" s="1" t="s">
        <v>116</v>
      </c>
    </row>
    <row r="4" spans="1:3" x14ac:dyDescent="0.2">
      <c r="A4" s="163" t="s">
        <v>113</v>
      </c>
    </row>
    <row r="5" spans="1:3" ht="25.5" customHeight="1" x14ac:dyDescent="0.2">
      <c r="A5" s="396" t="s">
        <v>129</v>
      </c>
      <c r="B5" s="397"/>
      <c r="C5" s="397"/>
    </row>
    <row r="6" spans="1:3" x14ac:dyDescent="0.2">
      <c r="A6" s="1" t="s">
        <v>114</v>
      </c>
    </row>
    <row r="7" spans="1:3" ht="26.25" customHeight="1" x14ac:dyDescent="0.2">
      <c r="A7" s="396" t="s">
        <v>156</v>
      </c>
      <c r="B7" s="397"/>
      <c r="C7" s="397"/>
    </row>
    <row r="8" spans="1:3" x14ac:dyDescent="0.2">
      <c r="A8" s="1" t="s">
        <v>115</v>
      </c>
    </row>
    <row r="9" spans="1:3" x14ac:dyDescent="0.2">
      <c r="A9" s="1" t="s">
        <v>121</v>
      </c>
    </row>
    <row r="10" spans="1:3" ht="13.5" thickBot="1" x14ac:dyDescent="0.25"/>
    <row r="11" spans="1:3" ht="18" x14ac:dyDescent="0.25">
      <c r="B11" s="394" t="s">
        <v>220</v>
      </c>
      <c r="C11" s="395"/>
    </row>
    <row r="12" spans="1:3" x14ac:dyDescent="0.2">
      <c r="A12" s="77"/>
      <c r="B12" s="398" t="s">
        <v>146</v>
      </c>
      <c r="C12" s="399"/>
    </row>
    <row r="13" spans="1:3" ht="15" x14ac:dyDescent="0.25">
      <c r="A13" s="77"/>
      <c r="B13" s="78" t="s">
        <v>39</v>
      </c>
      <c r="C13" s="79">
        <v>9343</v>
      </c>
    </row>
    <row r="14" spans="1:3" ht="15" x14ac:dyDescent="0.25">
      <c r="A14" s="77"/>
      <c r="B14" s="80" t="s">
        <v>40</v>
      </c>
      <c r="C14" s="79">
        <v>6967</v>
      </c>
    </row>
    <row r="15" spans="1:3" ht="14.25" x14ac:dyDescent="0.2">
      <c r="A15" s="77"/>
      <c r="B15" s="118" t="s">
        <v>41</v>
      </c>
      <c r="C15" s="119">
        <v>156</v>
      </c>
    </row>
    <row r="16" spans="1:3" ht="14.25" x14ac:dyDescent="0.2">
      <c r="A16" s="77"/>
      <c r="B16" s="118" t="s">
        <v>42</v>
      </c>
      <c r="C16" s="119">
        <v>3467</v>
      </c>
    </row>
    <row r="17" spans="1:7" ht="14.25" x14ac:dyDescent="0.2">
      <c r="A17" s="77"/>
      <c r="B17" s="118" t="s">
        <v>43</v>
      </c>
      <c r="C17" s="119">
        <v>1601</v>
      </c>
    </row>
    <row r="18" spans="1:7" ht="14.25" x14ac:dyDescent="0.2">
      <c r="A18" s="77"/>
      <c r="B18" s="118" t="s">
        <v>44</v>
      </c>
      <c r="C18" s="119">
        <v>33</v>
      </c>
    </row>
    <row r="19" spans="1:7" ht="14.25" x14ac:dyDescent="0.2">
      <c r="A19" s="77"/>
      <c r="B19" s="118" t="s">
        <v>45</v>
      </c>
      <c r="C19" s="119">
        <v>1676</v>
      </c>
    </row>
    <row r="20" spans="1:7" ht="14.25" x14ac:dyDescent="0.2">
      <c r="A20" s="77"/>
      <c r="B20" s="118" t="s">
        <v>46</v>
      </c>
      <c r="C20" s="119">
        <v>2</v>
      </c>
    </row>
    <row r="21" spans="1:7" ht="14.25" x14ac:dyDescent="0.2">
      <c r="A21" s="77"/>
      <c r="B21" s="118" t="s">
        <v>47</v>
      </c>
      <c r="C21" s="119">
        <v>23</v>
      </c>
    </row>
    <row r="22" spans="1:7" ht="14.25" x14ac:dyDescent="0.2">
      <c r="A22" s="77"/>
      <c r="B22" s="120" t="s">
        <v>48</v>
      </c>
      <c r="C22" s="121">
        <v>0</v>
      </c>
    </row>
    <row r="23" spans="1:7" ht="15" x14ac:dyDescent="0.25">
      <c r="A23" s="77" t="s">
        <v>49</v>
      </c>
      <c r="B23" s="76" t="s">
        <v>50</v>
      </c>
      <c r="C23" s="117"/>
    </row>
    <row r="24" spans="1:7" ht="14.25" x14ac:dyDescent="0.2">
      <c r="A24" s="77"/>
      <c r="B24" s="122" t="s">
        <v>136</v>
      </c>
      <c r="C24" s="123">
        <v>14087</v>
      </c>
    </row>
    <row r="25" spans="1:7" ht="14.25" x14ac:dyDescent="0.2">
      <c r="A25" s="77"/>
      <c r="B25" s="118" t="s">
        <v>137</v>
      </c>
      <c r="C25" s="119">
        <v>16463</v>
      </c>
    </row>
    <row r="26" spans="1:7" ht="14.25" x14ac:dyDescent="0.2">
      <c r="B26" s="118" t="s">
        <v>138</v>
      </c>
      <c r="C26" s="119">
        <v>2376</v>
      </c>
    </row>
    <row r="27" spans="1:7" ht="14.25" x14ac:dyDescent="0.2">
      <c r="B27" s="124"/>
      <c r="C27" s="125"/>
    </row>
    <row r="28" spans="1:7" ht="15" x14ac:dyDescent="0.25">
      <c r="B28" s="81" t="s">
        <v>51</v>
      </c>
      <c r="C28" s="164">
        <f>MEDIAN(C13,C14)/MEDIAN(C24,C25)</f>
        <v>0.53387888707037645</v>
      </c>
      <c r="G28" s="1">
        <f>12/C28</f>
        <v>22.477007970570202</v>
      </c>
    </row>
    <row r="29" spans="1:7" ht="15" x14ac:dyDescent="0.25">
      <c r="B29" s="78" t="s">
        <v>52</v>
      </c>
      <c r="C29" s="164">
        <f>C16/MEDIAN(C24,C25)</f>
        <v>0.22697217675941081</v>
      </c>
    </row>
    <row r="30" spans="1:7" ht="15" x14ac:dyDescent="0.25">
      <c r="B30" s="83" t="s">
        <v>53</v>
      </c>
      <c r="C30" s="82">
        <v>360</v>
      </c>
    </row>
    <row r="31" spans="1:7" ht="15" x14ac:dyDescent="0.25">
      <c r="B31" s="78" t="s">
        <v>122</v>
      </c>
      <c r="C31" s="82">
        <v>10</v>
      </c>
    </row>
    <row r="32" spans="1:7" ht="15" x14ac:dyDescent="0.25">
      <c r="B32" s="78" t="s">
        <v>123</v>
      </c>
      <c r="C32" s="82">
        <v>30</v>
      </c>
      <c r="G32" s="1">
        <f>TRUNC(G37)</f>
        <v>10</v>
      </c>
    </row>
    <row r="33" spans="2:11" ht="15" x14ac:dyDescent="0.25">
      <c r="B33" s="78" t="s">
        <v>124</v>
      </c>
      <c r="C33" s="82">
        <v>30</v>
      </c>
    </row>
    <row r="34" spans="2:11" s="51" customFormat="1" ht="15" x14ac:dyDescent="0.25">
      <c r="B34" s="78" t="s">
        <v>54</v>
      </c>
      <c r="C34" s="126">
        <f>MEDIAN(C24,C25)</f>
        <v>15275</v>
      </c>
    </row>
    <row r="35" spans="2:11" s="51" customFormat="1" ht="15" x14ac:dyDescent="0.25">
      <c r="B35" s="78" t="s">
        <v>14</v>
      </c>
      <c r="C35" s="127">
        <v>0.08</v>
      </c>
      <c r="K35" s="51">
        <f>IF(C39&gt;12,C39-12,C39)</f>
        <v>10.477007970570202</v>
      </c>
    </row>
    <row r="36" spans="2:11" s="51" customFormat="1" ht="15" x14ac:dyDescent="0.25">
      <c r="B36" s="78" t="s">
        <v>55</v>
      </c>
      <c r="C36" s="127">
        <v>0.4</v>
      </c>
      <c r="K36" s="51" t="e">
        <f>IF(#REF!&gt;12,#REF!-12,#REF!)</f>
        <v>#REF!</v>
      </c>
    </row>
    <row r="37" spans="2:11" s="51" customFormat="1" ht="15" x14ac:dyDescent="0.25">
      <c r="B37" s="78" t="s">
        <v>56</v>
      </c>
      <c r="C37" s="165">
        <f>((1/C28)-TRUNC(E37))</f>
        <v>0.87308399754751687</v>
      </c>
      <c r="D37" s="51">
        <f>TRUNC(E37)</f>
        <v>1</v>
      </c>
      <c r="E37" s="51">
        <f>1/C28</f>
        <v>1.8730839975475169</v>
      </c>
      <c r="F37" s="51">
        <f>((1/C28)-TRUNC(E37))</f>
        <v>0.87308399754751687</v>
      </c>
      <c r="G37" s="51">
        <f>12*F37</f>
        <v>10.477007970570202</v>
      </c>
      <c r="K37" s="51" t="e">
        <f>IF(#REF!&gt;12,#REF!-12,#REF!)</f>
        <v>#REF!</v>
      </c>
    </row>
    <row r="38" spans="2:11" s="51" customFormat="1" ht="15" x14ac:dyDescent="0.25">
      <c r="B38" s="76" t="s">
        <v>57</v>
      </c>
      <c r="C38" s="84">
        <f>30+D38</f>
        <v>33</v>
      </c>
      <c r="D38" s="51">
        <f>3*D37</f>
        <v>3</v>
      </c>
      <c r="G38" s="51">
        <f>G37/12*40/360</f>
        <v>9.7009333060835201E-2</v>
      </c>
      <c r="K38" s="51" t="e">
        <f>IF(#REF!&gt;12,#REF!-12,#REF!)</f>
        <v>#REF!</v>
      </c>
    </row>
    <row r="39" spans="2:11" s="51" customFormat="1" ht="15.75" thickBot="1" x14ac:dyDescent="0.3">
      <c r="B39" s="85" t="s">
        <v>127</v>
      </c>
      <c r="C39" s="166">
        <f>12/C28</f>
        <v>22.477007970570202</v>
      </c>
      <c r="K39" s="51" t="e">
        <f>IF(#REF!&gt;12,#REF!-12,#REF!)</f>
        <v>#REF!</v>
      </c>
    </row>
    <row r="40" spans="2:11" x14ac:dyDescent="0.2">
      <c r="K40" s="1" t="e">
        <f t="shared" ref="K40:K41" si="0">IF(K39&gt;12,K39-12,K39)</f>
        <v>#REF!</v>
      </c>
    </row>
    <row r="41" spans="2:11" x14ac:dyDescent="0.2">
      <c r="K41" s="1" t="e">
        <f t="shared" si="0"/>
        <v>#REF!</v>
      </c>
    </row>
  </sheetData>
  <mergeCells count="4">
    <mergeCell ref="B11:C11"/>
    <mergeCell ref="A7:C7"/>
    <mergeCell ref="A5:C5"/>
    <mergeCell ref="B12:C12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workbookViewId="0">
      <selection activeCell="A6" sqref="A6:F6"/>
    </sheetView>
  </sheetViews>
  <sheetFormatPr defaultRowHeight="12.75" x14ac:dyDescent="0.2"/>
  <cols>
    <col min="1" max="1" width="41.85546875" bestFit="1" customWidth="1"/>
    <col min="2" max="2" width="10.5703125" customWidth="1"/>
    <col min="3" max="3" width="25.7109375" customWidth="1"/>
    <col min="4" max="4" width="9.7109375" hidden="1" customWidth="1"/>
    <col min="5" max="5" width="8" style="59" hidden="1" customWidth="1"/>
    <col min="6" max="6" width="9.7109375" hidden="1" customWidth="1"/>
  </cols>
  <sheetData>
    <row r="1" spans="1:8" s="68" customFormat="1" ht="14.25" x14ac:dyDescent="0.2">
      <c r="A1" s="8" t="s">
        <v>111</v>
      </c>
      <c r="B1" s="66"/>
      <c r="C1" s="66"/>
      <c r="E1" s="69"/>
    </row>
    <row r="2" spans="1:8" s="68" customFormat="1" ht="14.25" x14ac:dyDescent="0.2">
      <c r="A2" s="65" t="s">
        <v>128</v>
      </c>
      <c r="B2" s="66"/>
      <c r="C2" s="66"/>
      <c r="E2" s="69"/>
    </row>
    <row r="3" spans="1:8" s="68" customFormat="1" ht="14.25" x14ac:dyDescent="0.2">
      <c r="A3" s="6" t="s">
        <v>112</v>
      </c>
      <c r="B3" s="66"/>
      <c r="C3" s="66"/>
      <c r="E3" s="69"/>
    </row>
    <row r="4" spans="1:8" s="68" customFormat="1" ht="14.25" x14ac:dyDescent="0.2">
      <c r="A4" s="65"/>
      <c r="B4" s="66"/>
      <c r="C4" s="66"/>
      <c r="E4" s="69"/>
    </row>
    <row r="5" spans="1:8" s="68" customFormat="1" ht="15" thickBot="1" x14ac:dyDescent="0.25">
      <c r="B5" s="66"/>
      <c r="C5" s="66"/>
      <c r="E5" s="69"/>
    </row>
    <row r="6" spans="1:8" ht="16.5" thickBot="1" x14ac:dyDescent="0.25">
      <c r="A6" s="407" t="s">
        <v>193</v>
      </c>
      <c r="B6" s="408"/>
      <c r="C6" s="408"/>
      <c r="D6" s="408"/>
      <c r="E6" s="408"/>
      <c r="F6" s="409"/>
    </row>
    <row r="7" spans="1:8" ht="15" x14ac:dyDescent="0.25">
      <c r="A7" s="128"/>
      <c r="B7" s="67"/>
      <c r="C7" s="67"/>
      <c r="D7" s="404" t="s">
        <v>125</v>
      </c>
      <c r="E7" s="405"/>
      <c r="F7" s="406"/>
      <c r="G7" s="68"/>
      <c r="H7" s="68"/>
    </row>
    <row r="8" spans="1:8" ht="15" thickBot="1" x14ac:dyDescent="0.25">
      <c r="A8" s="124"/>
      <c r="B8" s="129"/>
      <c r="C8" s="129"/>
      <c r="D8" s="130" t="s">
        <v>152</v>
      </c>
      <c r="E8" s="131" t="s">
        <v>106</v>
      </c>
      <c r="F8" s="132" t="s">
        <v>192</v>
      </c>
      <c r="G8" s="68"/>
      <c r="H8" s="68"/>
    </row>
    <row r="9" spans="1:8" ht="14.25" x14ac:dyDescent="0.2">
      <c r="A9" s="133" t="s">
        <v>24</v>
      </c>
      <c r="B9" s="134" t="s">
        <v>25</v>
      </c>
      <c r="C9" s="135">
        <v>0.04</v>
      </c>
      <c r="D9" s="153">
        <v>2.9700000000000001E-2</v>
      </c>
      <c r="E9" s="154">
        <v>5.0799999999999998E-2</v>
      </c>
      <c r="F9" s="155">
        <v>6.2700000000000006E-2</v>
      </c>
      <c r="G9" s="68"/>
      <c r="H9" s="68"/>
    </row>
    <row r="10" spans="1:8" ht="14.25" x14ac:dyDescent="0.2">
      <c r="A10" s="137" t="s">
        <v>26</v>
      </c>
      <c r="B10" s="138" t="s">
        <v>27</v>
      </c>
      <c r="C10" s="139">
        <v>8.6E-3</v>
      </c>
      <c r="D10" s="153">
        <v>8.6E-3</v>
      </c>
      <c r="E10" s="154">
        <f>0.48%+0.85%</f>
        <v>1.3299999999999999E-2</v>
      </c>
      <c r="F10" s="155">
        <f>0.82%+0.89%</f>
        <v>1.7099999999999997E-2</v>
      </c>
      <c r="G10" s="68"/>
      <c r="H10" s="68"/>
    </row>
    <row r="11" spans="1:8" ht="14.25" x14ac:dyDescent="0.2">
      <c r="A11" s="137" t="s">
        <v>28</v>
      </c>
      <c r="B11" s="138" t="s">
        <v>29</v>
      </c>
      <c r="C11" s="139">
        <v>7.0000000000000007E-2</v>
      </c>
      <c r="D11" s="153">
        <v>7.8E-2</v>
      </c>
      <c r="E11" s="154">
        <v>0.1085</v>
      </c>
      <c r="F11" s="155">
        <v>0.13550000000000001</v>
      </c>
      <c r="G11" s="68"/>
      <c r="H11" s="68"/>
    </row>
    <row r="12" spans="1:8" ht="14.25" x14ac:dyDescent="0.2">
      <c r="A12" s="137" t="s">
        <v>30</v>
      </c>
      <c r="B12" s="138" t="s">
        <v>31</v>
      </c>
      <c r="C12" s="139">
        <v>1.6000000000000001E-3</v>
      </c>
      <c r="D12" s="153" t="s">
        <v>153</v>
      </c>
      <c r="E12" s="140">
        <v>0.1275</v>
      </c>
      <c r="F12" s="136"/>
      <c r="G12" s="68"/>
      <c r="H12" s="68"/>
    </row>
    <row r="13" spans="1:8" ht="14.25" x14ac:dyDescent="0.2">
      <c r="A13" s="137" t="s">
        <v>32</v>
      </c>
      <c r="B13" s="402" t="s">
        <v>33</v>
      </c>
      <c r="C13" s="139">
        <v>0.03</v>
      </c>
      <c r="D13" s="167" t="s">
        <v>107</v>
      </c>
      <c r="E13" s="144">
        <v>5</v>
      </c>
      <c r="F13" s="141"/>
      <c r="G13" s="68"/>
      <c r="H13" s="68"/>
    </row>
    <row r="14" spans="1:8" ht="15" thickBot="1" x14ac:dyDescent="0.25">
      <c r="A14" s="142" t="s">
        <v>34</v>
      </c>
      <c r="B14" s="403"/>
      <c r="C14" s="143">
        <v>3.6499999999999998E-2</v>
      </c>
      <c r="D14" s="118"/>
      <c r="E14" s="187"/>
      <c r="F14" s="141"/>
      <c r="G14" s="68"/>
      <c r="H14" s="68"/>
    </row>
    <row r="15" spans="1:8" ht="14.25" x14ac:dyDescent="0.2">
      <c r="A15" s="145" t="s">
        <v>35</v>
      </c>
      <c r="B15" s="146"/>
      <c r="C15" s="147"/>
      <c r="D15" s="118"/>
      <c r="E15" s="144"/>
      <c r="F15" s="141"/>
      <c r="G15" s="68"/>
      <c r="H15" s="68"/>
    </row>
    <row r="16" spans="1:8" ht="15" thickBot="1" x14ac:dyDescent="0.25">
      <c r="A16" s="148" t="s">
        <v>36</v>
      </c>
      <c r="B16" s="149"/>
      <c r="C16" s="150"/>
      <c r="D16" s="118"/>
      <c r="E16" s="144"/>
      <c r="F16" s="141"/>
      <c r="G16" s="68"/>
      <c r="H16" s="68"/>
    </row>
    <row r="17" spans="1:8" ht="15.75" thickBot="1" x14ac:dyDescent="0.25">
      <c r="A17" s="151" t="s">
        <v>37</v>
      </c>
      <c r="B17" s="152"/>
      <c r="C17" s="309">
        <f>ROUND((((1+C9+C10)*(1+C11)*(1+C12))/(1-(C13+C14))-1),4)</f>
        <v>0.2039</v>
      </c>
      <c r="D17" s="156"/>
      <c r="E17" s="157"/>
      <c r="F17" s="158"/>
      <c r="G17" s="68"/>
      <c r="H17" s="68"/>
    </row>
    <row r="18" spans="1:8" ht="14.25" x14ac:dyDescent="0.2">
      <c r="A18" s="68"/>
      <c r="B18" s="68"/>
      <c r="C18" s="68"/>
      <c r="D18" s="68"/>
      <c r="E18" s="69"/>
      <c r="F18" s="68"/>
      <c r="G18" s="68"/>
      <c r="H18" s="68"/>
    </row>
    <row r="19" spans="1:8" ht="14.25" x14ac:dyDescent="0.2">
      <c r="A19" s="401" t="s">
        <v>139</v>
      </c>
      <c r="B19" s="401"/>
      <c r="C19" s="401"/>
      <c r="D19" s="401"/>
      <c r="E19" s="401"/>
      <c r="F19" s="401"/>
      <c r="G19" s="68"/>
      <c r="H19" s="68"/>
    </row>
    <row r="20" spans="1:8" ht="14.25" x14ac:dyDescent="0.2">
      <c r="A20" s="401" t="s">
        <v>140</v>
      </c>
      <c r="B20" s="401"/>
      <c r="C20" s="401"/>
      <c r="D20" s="401"/>
      <c r="E20" s="401"/>
      <c r="F20" s="401"/>
      <c r="G20" s="68"/>
      <c r="H20" s="68"/>
    </row>
    <row r="21" spans="1:8" ht="14.25" x14ac:dyDescent="0.2">
      <c r="A21" s="401" t="s">
        <v>141</v>
      </c>
      <c r="B21" s="401"/>
      <c r="C21" s="401"/>
      <c r="D21" s="401"/>
      <c r="E21" s="401"/>
      <c r="F21" s="401"/>
      <c r="G21" s="68"/>
      <c r="H21" s="68"/>
    </row>
    <row r="22" spans="1:8" ht="14.25" x14ac:dyDescent="0.2">
      <c r="A22" s="401" t="s">
        <v>142</v>
      </c>
      <c r="B22" s="401"/>
      <c r="C22" s="401"/>
      <c r="D22" s="401"/>
      <c r="E22" s="401"/>
      <c r="F22" s="401"/>
    </row>
    <row r="23" spans="1:8" ht="14.25" x14ac:dyDescent="0.2">
      <c r="A23" s="401" t="s">
        <v>143</v>
      </c>
      <c r="B23" s="401"/>
      <c r="C23" s="401"/>
      <c r="D23" s="401"/>
      <c r="E23" s="401"/>
      <c r="F23" s="401"/>
    </row>
    <row r="24" spans="1:8" ht="14.25" x14ac:dyDescent="0.2">
      <c r="A24" s="401" t="s">
        <v>144</v>
      </c>
      <c r="B24" s="401"/>
      <c r="C24" s="401"/>
      <c r="D24" s="401"/>
      <c r="E24" s="401"/>
      <c r="F24" s="401"/>
    </row>
    <row r="25" spans="1:8" ht="14.25" x14ac:dyDescent="0.2">
      <c r="A25" s="401" t="s">
        <v>145</v>
      </c>
      <c r="B25" s="401"/>
      <c r="C25" s="401"/>
      <c r="D25" s="401"/>
      <c r="E25" s="401"/>
      <c r="F25" s="401"/>
    </row>
    <row r="26" spans="1:8" ht="14.25" x14ac:dyDescent="0.2">
      <c r="A26" s="400"/>
      <c r="B26" s="400"/>
      <c r="C26" s="400"/>
      <c r="D26" s="400"/>
      <c r="E26" s="400"/>
      <c r="F26" s="400"/>
    </row>
  </sheetData>
  <mergeCells count="11">
    <mergeCell ref="B13:B14"/>
    <mergeCell ref="D7:F7"/>
    <mergeCell ref="A6:F6"/>
    <mergeCell ref="A19:F19"/>
    <mergeCell ref="A20:F20"/>
    <mergeCell ref="A26:F26"/>
    <mergeCell ref="A21:F21"/>
    <mergeCell ref="A22:F22"/>
    <mergeCell ref="A23:F23"/>
    <mergeCell ref="A24:F24"/>
    <mergeCell ref="A25:F25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7" sqref="C7"/>
    </sheetView>
  </sheetViews>
  <sheetFormatPr defaultColWidth="8.85546875" defaultRowHeight="15" x14ac:dyDescent="0.25"/>
  <cols>
    <col min="1" max="1" width="8.85546875" style="252"/>
    <col min="2" max="2" width="29.28515625" style="252" customWidth="1"/>
    <col min="3" max="3" width="14.7109375" style="252" bestFit="1" customWidth="1"/>
    <col min="4" max="4" width="8" style="252" bestFit="1" customWidth="1"/>
    <col min="5" max="5" width="5.5703125" style="252" bestFit="1" customWidth="1"/>
    <col min="6" max="6" width="10.42578125" style="252" bestFit="1" customWidth="1"/>
    <col min="7" max="16384" width="8.85546875" style="252"/>
  </cols>
  <sheetData>
    <row r="1" spans="1:12" ht="15.75" x14ac:dyDescent="0.25">
      <c r="A1" s="251" t="s">
        <v>245</v>
      </c>
    </row>
    <row r="2" spans="1:12" x14ac:dyDescent="0.25">
      <c r="A2" s="253" t="s">
        <v>248</v>
      </c>
    </row>
    <row r="3" spans="1:12" x14ac:dyDescent="0.25">
      <c r="A3" s="253" t="s">
        <v>226</v>
      </c>
    </row>
    <row r="4" spans="1:12" x14ac:dyDescent="0.25">
      <c r="A4" s="254" t="s">
        <v>159</v>
      </c>
      <c r="B4" s="254" t="s">
        <v>160</v>
      </c>
      <c r="C4" s="254" t="s">
        <v>161</v>
      </c>
      <c r="D4" s="254" t="s">
        <v>162</v>
      </c>
      <c r="E4" s="254" t="s">
        <v>163</v>
      </c>
      <c r="F4" s="254" t="s">
        <v>164</v>
      </c>
    </row>
    <row r="5" spans="1:12" x14ac:dyDescent="0.25">
      <c r="A5" s="255">
        <v>75</v>
      </c>
      <c r="B5" s="254" t="s">
        <v>221</v>
      </c>
      <c r="C5" s="254" t="s">
        <v>174</v>
      </c>
      <c r="D5" s="256"/>
      <c r="E5" s="256"/>
      <c r="F5" s="256">
        <v>0.33333333333333331</v>
      </c>
    </row>
    <row r="6" spans="1:12" x14ac:dyDescent="0.25">
      <c r="A6" s="352" t="s">
        <v>227</v>
      </c>
      <c r="B6" s="350"/>
      <c r="C6" s="350"/>
      <c r="D6" s="351"/>
      <c r="E6" s="351"/>
      <c r="F6" s="351"/>
    </row>
    <row r="7" spans="1:12" x14ac:dyDescent="0.25">
      <c r="H7" s="257"/>
      <c r="I7" s="257"/>
      <c r="L7" s="257"/>
    </row>
    <row r="8" spans="1:12" x14ac:dyDescent="0.25">
      <c r="A8" s="253" t="s">
        <v>247</v>
      </c>
      <c r="H8" s="258"/>
    </row>
    <row r="9" spans="1:12" x14ac:dyDescent="0.25">
      <c r="A9" s="259" t="s">
        <v>175</v>
      </c>
      <c r="B9" s="260"/>
      <c r="C9" s="260"/>
      <c r="D9" s="260"/>
      <c r="E9" s="260"/>
      <c r="F9" s="356">
        <v>8</v>
      </c>
      <c r="H9" s="357"/>
      <c r="I9" s="359"/>
    </row>
    <row r="10" spans="1:12" x14ac:dyDescent="0.25">
      <c r="A10" s="262" t="s">
        <v>165</v>
      </c>
      <c r="B10" s="260"/>
      <c r="C10" s="260"/>
      <c r="D10" s="260"/>
      <c r="E10" s="260"/>
      <c r="F10" s="263">
        <v>5</v>
      </c>
      <c r="H10" s="358"/>
    </row>
    <row r="11" spans="1:12" x14ac:dyDescent="0.25">
      <c r="A11" s="259" t="s">
        <v>166</v>
      </c>
      <c r="B11" s="260"/>
      <c r="C11" s="260"/>
      <c r="D11" s="260"/>
      <c r="E11" s="260"/>
      <c r="F11" s="261">
        <f>F9*F10</f>
        <v>40</v>
      </c>
    </row>
    <row r="12" spans="1:12" x14ac:dyDescent="0.25">
      <c r="A12" s="259" t="s">
        <v>167</v>
      </c>
      <c r="B12" s="260"/>
      <c r="C12" s="260"/>
      <c r="D12" s="260"/>
      <c r="E12" s="260"/>
      <c r="F12" s="263">
        <v>6</v>
      </c>
    </row>
    <row r="13" spans="1:12" x14ac:dyDescent="0.25">
      <c r="A13" s="259" t="s">
        <v>168</v>
      </c>
      <c r="B13" s="260"/>
      <c r="C13" s="260"/>
      <c r="D13" s="260"/>
      <c r="E13" s="260"/>
      <c r="F13" s="263">
        <v>7</v>
      </c>
    </row>
    <row r="14" spans="1:12" x14ac:dyDescent="0.25">
      <c r="A14" s="259" t="s">
        <v>169</v>
      </c>
      <c r="B14" s="260"/>
      <c r="C14" s="260"/>
      <c r="D14" s="260"/>
      <c r="E14" s="260"/>
      <c r="F14" s="261">
        <f>F11/F12</f>
        <v>6.666666666666667</v>
      </c>
    </row>
    <row r="15" spans="1:12" x14ac:dyDescent="0.25">
      <c r="A15" s="259" t="s">
        <v>170</v>
      </c>
      <c r="B15" s="260"/>
      <c r="C15" s="260"/>
      <c r="D15" s="260"/>
      <c r="E15" s="260"/>
      <c r="F15" s="263">
        <v>30</v>
      </c>
    </row>
    <row r="16" spans="1:12" x14ac:dyDescent="0.25">
      <c r="A16" s="264" t="s">
        <v>171</v>
      </c>
      <c r="B16" s="265"/>
      <c r="C16" s="265"/>
      <c r="D16" s="265"/>
      <c r="E16" s="265"/>
      <c r="F16" s="266">
        <f>F14*F15</f>
        <v>200</v>
      </c>
    </row>
    <row r="17" spans="1:6" x14ac:dyDescent="0.25">
      <c r="A17" s="264" t="s">
        <v>172</v>
      </c>
      <c r="B17" s="265"/>
      <c r="C17" s="265"/>
      <c r="D17" s="265"/>
      <c r="E17" s="265"/>
      <c r="F17" s="254">
        <v>220</v>
      </c>
    </row>
    <row r="18" spans="1:6" x14ac:dyDescent="0.25">
      <c r="A18" s="264" t="s">
        <v>173</v>
      </c>
      <c r="B18" s="265"/>
      <c r="C18" s="265"/>
      <c r="D18" s="265"/>
      <c r="E18" s="265"/>
      <c r="F18" s="267">
        <f>F16/F17</f>
        <v>0.90909090909090906</v>
      </c>
    </row>
  </sheetData>
  <pageMargins left="0.51181102362204722" right="0.51181102362204722" top="0.78740157480314965" bottom="0.7874015748031496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1. Limpeza Instalações</vt:lpstr>
      <vt:lpstr>2. Encargos Sociais</vt:lpstr>
      <vt:lpstr>3. CAGED</vt:lpstr>
      <vt:lpstr>4. BDI</vt:lpstr>
      <vt:lpstr>5 Horários</vt:lpstr>
      <vt:lpstr>'1. Limpeza Instalações'!Area_de_impressao</vt:lpstr>
      <vt:lpstr>'2. Encargos Sociais'!Area_de_impressao</vt:lpstr>
      <vt:lpstr>'1. Limpeza Instalações'!Titulos_de_impressao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2022-04-20T15:27:16Z</cp:lastPrinted>
  <dcterms:created xsi:type="dcterms:W3CDTF">2000-12-13T10:02:50Z</dcterms:created>
  <dcterms:modified xsi:type="dcterms:W3CDTF">2022-05-20T17:34:35Z</dcterms:modified>
</cp:coreProperties>
</file>