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7755" tabRatio="802"/>
  </bookViews>
  <sheets>
    <sheet name="1. Limpeza Urbana" sheetId="2" r:id="rId1"/>
    <sheet name="2. Encargos Sociais" sheetId="8" r:id="rId2"/>
    <sheet name="3. CAGED" sheetId="5" r:id="rId3"/>
    <sheet name="4. BDI" sheetId="4" r:id="rId4"/>
    <sheet name="5 Horários" sheetId="9" r:id="rId5"/>
    <sheet name="Equipamentos e ferram ano " sheetId="10" r:id="rId6"/>
    <sheet name="Tabela ANP" sheetId="11" r:id="rId7"/>
    <sheet name="Plan1" sheetId="12" r:id="rId8"/>
  </sheets>
  <definedNames>
    <definedName name="AbaDeprec">#REF!</definedName>
    <definedName name="AbaRemun" localSheetId="4">#REF!</definedName>
    <definedName name="AbaRemun">#REF!</definedName>
    <definedName name="_xlnm.Print_Area" localSheetId="0">'1. Limpeza Urbana'!$A$1:$F$206</definedName>
    <definedName name="_xlnm.Print_Area" localSheetId="1">'2. Encargos Sociais'!$A$1:$C$36</definedName>
    <definedName name="_xlnm.Print_Titles" localSheetId="0">'1. Limpeza Urbana'!$1:$1</definedName>
  </definedNames>
  <calcPr calcId="144525"/>
</workbook>
</file>

<file path=xl/calcChain.xml><?xml version="1.0" encoding="utf-8"?>
<calcChain xmlns="http://schemas.openxmlformats.org/spreadsheetml/2006/main">
  <c r="A15" i="2" l="1"/>
  <c r="D100" i="2"/>
  <c r="D101" i="2"/>
  <c r="D99" i="2"/>
  <c r="D98" i="2"/>
  <c r="C101" i="2"/>
  <c r="C100" i="2"/>
  <c r="C99" i="2"/>
  <c r="C98" i="2"/>
  <c r="C93" i="2"/>
  <c r="C92" i="2"/>
  <c r="C91" i="2"/>
  <c r="C90" i="2"/>
  <c r="F15" i="10"/>
  <c r="F14" i="10"/>
  <c r="F13" i="10"/>
  <c r="F12" i="10"/>
  <c r="F11" i="10"/>
  <c r="F10" i="10"/>
  <c r="E100" i="2" l="1"/>
  <c r="E98" i="2"/>
  <c r="E99" i="2"/>
  <c r="E101" i="2"/>
  <c r="F9" i="10"/>
  <c r="C181" i="2"/>
  <c r="E181" i="2" s="1"/>
  <c r="D92" i="2"/>
  <c r="F16" i="10"/>
  <c r="F8" i="10"/>
  <c r="E180" i="2"/>
  <c r="C177" i="2"/>
  <c r="B8" i="10"/>
  <c r="C179" i="2"/>
  <c r="E179" i="2" s="1"/>
  <c r="F7" i="10"/>
  <c r="F6" i="10"/>
  <c r="F5" i="10"/>
  <c r="F4" i="10"/>
  <c r="F102" i="2" l="1"/>
  <c r="E15" i="2" s="1"/>
  <c r="F17" i="10"/>
  <c r="F18" i="10" s="1"/>
  <c r="D175" i="2" s="1"/>
  <c r="C171" i="2" l="1"/>
  <c r="E171" i="2" s="1"/>
  <c r="E170" i="2"/>
  <c r="C166" i="2"/>
  <c r="E162" i="2"/>
  <c r="E161" i="2"/>
  <c r="E156" i="2"/>
  <c r="D158" i="2" s="1"/>
  <c r="E158" i="2" s="1"/>
  <c r="D159" i="2" s="1"/>
  <c r="C154" i="2"/>
  <c r="E151" i="2"/>
  <c r="D153" i="2" s="1"/>
  <c r="E153" i="2" s="1"/>
  <c r="D154" i="2" s="1"/>
  <c r="C149" i="2"/>
  <c r="C131" i="2"/>
  <c r="E128" i="2"/>
  <c r="C111" i="2"/>
  <c r="D91" i="2"/>
  <c r="E91" i="2" s="1"/>
  <c r="A12" i="2"/>
  <c r="A11" i="2"/>
  <c r="C84" i="2"/>
  <c r="D165" i="2" l="1"/>
  <c r="E165" i="2" s="1"/>
  <c r="D166" i="2" s="1"/>
  <c r="E166" i="2" s="1"/>
  <c r="C172" i="2"/>
  <c r="E172" i="2" s="1"/>
  <c r="D169" i="2"/>
  <c r="E169" i="2" s="1"/>
  <c r="E154" i="2"/>
  <c r="E159" i="2"/>
  <c r="E92" i="2"/>
  <c r="E72" i="2"/>
  <c r="E71" i="2"/>
  <c r="E61" i="2"/>
  <c r="A20" i="2"/>
  <c r="E62" i="2" l="1"/>
  <c r="E63" i="2" s="1"/>
  <c r="D85" i="2"/>
  <c r="E85" i="2" s="1"/>
  <c r="E73" i="2"/>
  <c r="E177" i="2"/>
  <c r="E178" i="2"/>
  <c r="E175" i="2"/>
  <c r="E146" i="2"/>
  <c r="D148" i="2" s="1"/>
  <c r="E148" i="2" s="1"/>
  <c r="D149" i="2" s="1"/>
  <c r="E149" i="2" s="1"/>
  <c r="C144" i="2"/>
  <c r="E140" i="2"/>
  <c r="E139" i="2"/>
  <c r="E123" i="2"/>
  <c r="E122" i="2"/>
  <c r="D93" i="2"/>
  <c r="D90" i="2"/>
  <c r="D74" i="2" l="1"/>
  <c r="D64" i="2"/>
  <c r="D143" i="2"/>
  <c r="C83" i="2"/>
  <c r="E129" i="2"/>
  <c r="E93" i="2"/>
  <c r="E143" i="2" l="1"/>
  <c r="D144" i="2" s="1"/>
  <c r="E144" i="2" s="1"/>
  <c r="D168" i="2"/>
  <c r="E168" i="2" s="1"/>
  <c r="E90" i="2"/>
  <c r="E183" i="2" l="1"/>
  <c r="F184" i="2" s="1"/>
  <c r="F187" i="2" s="1"/>
  <c r="F10" i="4"/>
  <c r="A17" i="2" l="1"/>
  <c r="A16" i="2"/>
  <c r="E106" i="2"/>
  <c r="A21" i="2" l="1"/>
  <c r="E192" i="2"/>
  <c r="F195" i="2" s="1"/>
  <c r="E21" i="2" l="1"/>
  <c r="E51" i="2"/>
  <c r="A13" i="2"/>
  <c r="D52" i="2" l="1"/>
  <c r="E52" i="2" s="1"/>
  <c r="E53" i="2" s="1"/>
  <c r="D84" i="2"/>
  <c r="E84" i="2" s="1"/>
  <c r="E20" i="2" l="1"/>
  <c r="E127" i="2" l="1"/>
  <c r="E126" i="2"/>
  <c r="E120" i="2"/>
  <c r="E121" i="2"/>
  <c r="E130" i="2"/>
  <c r="E125" i="2"/>
  <c r="F16" i="9" l="1"/>
  <c r="F19" i="9" s="1"/>
  <c r="F21" i="9" l="1"/>
  <c r="F23" i="9" l="1"/>
  <c r="B36" i="2" s="1"/>
  <c r="E57" i="2" l="1"/>
  <c r="E107" i="2" s="1"/>
  <c r="F107" i="2" s="1"/>
  <c r="E16" i="2" s="1"/>
  <c r="E77" i="2"/>
  <c r="E67" i="2"/>
  <c r="C17" i="8"/>
  <c r="E132" i="2" l="1"/>
  <c r="E47" i="2" l="1"/>
  <c r="A27" i="2" l="1"/>
  <c r="E41" i="2" l="1"/>
  <c r="D83" i="2" s="1"/>
  <c r="A19" i="2"/>
  <c r="A22" i="2"/>
  <c r="A18" i="2" l="1"/>
  <c r="A8" i="2"/>
  <c r="E124" i="2" l="1"/>
  <c r="A14" i="2" l="1"/>
  <c r="A10" i="2"/>
  <c r="A9" i="2"/>
  <c r="E10" i="4"/>
  <c r="C14" i="8"/>
  <c r="C34" i="5"/>
  <c r="C29" i="5"/>
  <c r="C28" i="5"/>
  <c r="A31" i="2"/>
  <c r="C17" i="4" l="1"/>
  <c r="G28" i="5"/>
  <c r="C39" i="5"/>
  <c r="C16" i="8" s="1"/>
  <c r="E37" i="5"/>
  <c r="D37" i="5" s="1"/>
  <c r="D38" i="5" s="1"/>
  <c r="C38" i="5" s="1"/>
  <c r="C32" i="8" s="1"/>
  <c r="D131" i="2"/>
  <c r="E131" i="2" s="1"/>
  <c r="D42" i="2"/>
  <c r="E42" i="2" s="1"/>
  <c r="C202" i="2" l="1"/>
  <c r="E43" i="2"/>
  <c r="D44" i="2"/>
  <c r="C22" i="8"/>
  <c r="K35" i="5"/>
  <c r="K36" i="5" s="1"/>
  <c r="K37" i="5" s="1"/>
  <c r="K38" i="5" s="1"/>
  <c r="K39" i="5" s="1"/>
  <c r="K40" i="5" s="1"/>
  <c r="K41" i="5" s="1"/>
  <c r="F37" i="5"/>
  <c r="G37" i="5" s="1"/>
  <c r="C37" i="5"/>
  <c r="D54" i="2"/>
  <c r="C31" i="8" l="1"/>
  <c r="C33" i="8" s="1"/>
  <c r="C29" i="8"/>
  <c r="G38" i="5"/>
  <c r="G32" i="5"/>
  <c r="C34" i="8" l="1"/>
  <c r="C74" i="2" l="1"/>
  <c r="E74" i="2" s="1"/>
  <c r="E75" i="2" s="1"/>
  <c r="D76" i="2" s="1"/>
  <c r="E76" i="2" s="1"/>
  <c r="F77" i="2" s="1"/>
  <c r="E12" i="2" s="1"/>
  <c r="C64" i="2"/>
  <c r="E64" i="2" s="1"/>
  <c r="E65" i="2" s="1"/>
  <c r="D66" i="2" s="1"/>
  <c r="E66" i="2" s="1"/>
  <c r="F67" i="2" s="1"/>
  <c r="E11" i="2" s="1"/>
  <c r="C44" i="2"/>
  <c r="E44" i="2" s="1"/>
  <c r="F47" i="2" s="1"/>
  <c r="C54" i="2"/>
  <c r="E54" i="2" s="1"/>
  <c r="E55" i="2" s="1"/>
  <c r="E45" i="2" l="1"/>
  <c r="D46" i="2" s="1"/>
  <c r="D56" i="2"/>
  <c r="E46" i="2" l="1"/>
  <c r="F132" i="2"/>
  <c r="E19" i="2" l="1"/>
  <c r="F134" i="2"/>
  <c r="E9" i="2"/>
  <c r="E18" i="2" l="1"/>
  <c r="E56" i="2"/>
  <c r="F57" i="2" s="1"/>
  <c r="E10" i="2" l="1"/>
  <c r="F94" i="2" l="1"/>
  <c r="E14" i="2" s="1"/>
  <c r="E111" i="2"/>
  <c r="F113" i="2" s="1"/>
  <c r="E17" i="2" s="1"/>
  <c r="E83" i="2" l="1"/>
  <c r="F86" i="2" s="1"/>
  <c r="F115" i="2" l="1"/>
  <c r="F198" i="2" s="1"/>
  <c r="D202" i="2" s="1"/>
  <c r="E202" i="2" s="1"/>
  <c r="F204" i="2" s="1"/>
  <c r="F206" i="2" s="1"/>
  <c r="F208" i="2" s="1"/>
  <c r="E13" i="2"/>
  <c r="E8" i="2" l="1"/>
  <c r="E22" i="2"/>
  <c r="E23" i="2" s="1"/>
  <c r="F15" i="2" s="1"/>
  <c r="F17" i="2" l="1"/>
  <c r="F11" i="2"/>
  <c r="F12" i="2"/>
  <c r="F21" i="2"/>
  <c r="F16" i="2"/>
  <c r="F20" i="2"/>
  <c r="F19" i="2"/>
  <c r="F14" i="2"/>
  <c r="F10" i="2"/>
  <c r="F9" i="2"/>
  <c r="F8" i="2"/>
  <c r="F18" i="2"/>
  <c r="F22" i="2"/>
  <c r="F13" i="2"/>
  <c r="F23" i="2" l="1"/>
</calcChain>
</file>

<file path=xl/sharedStrings.xml><?xml version="1.0" encoding="utf-8"?>
<sst xmlns="http://schemas.openxmlformats.org/spreadsheetml/2006/main" count="594" uniqueCount="342">
  <si>
    <t>Adicional de Insalubridade</t>
  </si>
  <si>
    <t>%</t>
  </si>
  <si>
    <t>Soma</t>
  </si>
  <si>
    <t>Encargos Sociais</t>
  </si>
  <si>
    <t>Total do Efetivo</t>
  </si>
  <si>
    <t>homem</t>
  </si>
  <si>
    <t>mês</t>
  </si>
  <si>
    <t>unidade</t>
  </si>
  <si>
    <t>Calça</t>
  </si>
  <si>
    <t>Benefícios e despesas indiretas</t>
  </si>
  <si>
    <t>Custo (R$/mês)</t>
  </si>
  <si>
    <t>Mão-de-obra</t>
  </si>
  <si>
    <t>Quantidade</t>
  </si>
  <si>
    <t>INSS</t>
  </si>
  <si>
    <t>FGTS</t>
  </si>
  <si>
    <t>Planilha de Composição de Custos</t>
  </si>
  <si>
    <t>2. Uniformes e Equipamentos de Proteção Individual</t>
  </si>
  <si>
    <t>1. Mão-de-obra</t>
  </si>
  <si>
    <t>par</t>
  </si>
  <si>
    <t>Total de mão-de-obra (postos de trabalho)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</si>
  <si>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</si>
  <si>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</si>
  <si>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</si>
  <si>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</si>
  <si>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</si>
  <si>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</si>
  <si>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</si>
  <si>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</si>
  <si>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</si>
  <si>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</si>
  <si>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</si>
  <si>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</si>
  <si>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</si>
  <si>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</si>
  <si>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</si>
  <si>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</si>
  <si>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</si>
  <si>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</si>
  <si>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Quantitativos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</si>
  <si>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</si>
  <si>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</si>
  <si>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</si>
  <si>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</si>
  <si>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</si>
  <si>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</si>
  <si>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</si>
  <si>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</si>
  <si>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</si>
  <si>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</si>
  <si>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</si>
  <si>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</si>
  <si>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Rotatividade</t>
  </si>
  <si>
    <t>Demitidos s/ Justa Causa em relação ao Estoque Médio</t>
  </si>
  <si>
    <t>Dias ano</t>
  </si>
  <si>
    <t>Estoque Médio</t>
  </si>
  <si>
    <t>Multa FGTS</t>
  </si>
  <si>
    <t>Fração de tempo para gozo férias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</si>
  <si>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</si>
  <si>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</si>
  <si>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</si>
  <si>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</si>
  <si>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</si>
  <si>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</si>
  <si>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</si>
  <si>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</si>
  <si>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</si>
  <si>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</si>
  <si>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</si>
  <si>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</si>
  <si>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</si>
  <si>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</si>
  <si>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</si>
  <si>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</si>
  <si>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</si>
  <si>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</si>
  <si>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</si>
  <si>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</si>
  <si>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</si>
  <si>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</si>
  <si>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</si>
  <si>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</si>
  <si>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</si>
  <si>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</si>
  <si>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</si>
  <si>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</si>
  <si>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</si>
  <si>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</si>
  <si>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</si>
  <si>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</si>
  <si>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</si>
  <si>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</si>
  <si>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</si>
  <si>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</si>
  <si>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</si>
  <si>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</si>
  <si>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</si>
  <si>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</si>
  <si>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</si>
  <si>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</si>
  <si>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</si>
  <si>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</si>
  <si>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</si>
  <si>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Grupo A sobre aviso prévio indenizado</t>
  </si>
  <si>
    <t>D</t>
  </si>
  <si>
    <t>SOMA GRUPO D</t>
  </si>
  <si>
    <t>SOMA (A+B+C+D)</t>
  </si>
  <si>
    <t>Médio</t>
  </si>
  <si>
    <t>DU</t>
  </si>
  <si>
    <t>Fator de utilização (FU)</t>
  </si>
  <si>
    <t>Descrição do Item</t>
  </si>
  <si>
    <t>Orçamento Sintético</t>
  </si>
  <si>
    <t>Orientações para preenchimento:</t>
  </si>
  <si>
    <t>2. Preencher somente células em amarelo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</si>
  <si>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</si>
  <si>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</si>
  <si>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5. Clique em Gerar Relatório</t>
  </si>
  <si>
    <t>Para preencher esta planilha siga os passos 1 a 5:</t>
  </si>
  <si>
    <t>Piso da categoria</t>
  </si>
  <si>
    <t>C2</t>
  </si>
  <si>
    <t>B3</t>
  </si>
  <si>
    <t>Custo unitário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</si>
  <si>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</si>
  <si>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</si>
  <si>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</si>
  <si>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</si>
  <si>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</si>
  <si>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</si>
  <si>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</si>
  <si>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</si>
  <si>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2. Na Especificação da Consulta, selecione "Demonstrativo por período" e informe as competências relativas ao período Inicial e Final (últimos 12 meses)</t>
  </si>
  <si>
    <t>Durabilidade (meses)</t>
  </si>
  <si>
    <t>PLANILHA DE CUSTOS</t>
  </si>
  <si>
    <t>Fator de util.</t>
  </si>
  <si>
    <t>1. Custo Mensal com Mão-de-obra</t>
  </si>
  <si>
    <t>2. Custo Mensal com Uniformes e EPIs</t>
  </si>
  <si>
    <t>PREÇO MENSAL TOTAL</t>
  </si>
  <si>
    <t>Estoque recuperado início do Período 01-05-2017</t>
  </si>
  <si>
    <t>Estoque recuperado final do Período 31-05-2018</t>
  </si>
  <si>
    <t>Variação Emprego Absoluta de 01-05-2017 a 31-05-2018</t>
  </si>
  <si>
    <t>AC = taxa representativa das despesas de rateio da administração central</t>
  </si>
  <si>
    <t xml:space="preserve">R = taxa representativa de riscos </t>
  </si>
  <si>
    <t xml:space="preserve">S = taxa representativa de seguros </t>
  </si>
  <si>
    <t xml:space="preserve">G = taxa representativa de garantias </t>
  </si>
  <si>
    <t xml:space="preserve">DF = taxa representativa das despesas financeiras </t>
  </si>
  <si>
    <t xml:space="preserve">L = taxa representativa do lucro ou remuneração </t>
  </si>
  <si>
    <t xml:space="preserve">T = taxa representativa da incidência de tributos </t>
  </si>
  <si>
    <t>Rio Grande do Sul  - Atividade de limpeza não especif. anteriormente - CNAE 81290</t>
  </si>
  <si>
    <t>PREÇO TOTAL MENSAL</t>
  </si>
  <si>
    <t>Tempo trabalho por mês (Horas)</t>
  </si>
  <si>
    <t>Total por Assistente Administrativo</t>
  </si>
  <si>
    <t>2.1. Uniformes e EPIs</t>
  </si>
  <si>
    <t xml:space="preserve">Seguro contra acidentes de trabalho </t>
  </si>
  <si>
    <t>1° Quartil</t>
  </si>
  <si>
    <t>SELIC</t>
  </si>
  <si>
    <t>Tempo trabalho por mês (Horas) + (DSR)</t>
  </si>
  <si>
    <t xml:space="preserve">Piso da categoria  + 4,56% IPCA Base 2018  </t>
  </si>
  <si>
    <t>4. Nível Setorial: selecione "Classe de atividade econômica segundo a classificação CNAE – versão 2.0 (669 categorias)" e marque a opção "81290 - Atividade de limpeza não especif. anteriormente "</t>
  </si>
  <si>
    <t xml:space="preserve">PREÇO MENSAL POR FUNCIONÁRIO </t>
  </si>
  <si>
    <t>CÁLCULO DAS VERBAS INDENIZATÓRIAS DOS EMPREGADOS NO SETOR DE LIMPEZA</t>
  </si>
  <si>
    <t xml:space="preserve">Nr. Func. </t>
  </si>
  <si>
    <t xml:space="preserve">Cargo </t>
  </si>
  <si>
    <t xml:space="preserve">Dias </t>
  </si>
  <si>
    <t xml:space="preserve">Entrada </t>
  </si>
  <si>
    <t>Saída</t>
  </si>
  <si>
    <t>Total Horas</t>
  </si>
  <si>
    <t xml:space="preserve">Total de dias por semana </t>
  </si>
  <si>
    <t xml:space="preserve">Total de horas por semana </t>
  </si>
  <si>
    <t xml:space="preserve">Dias úteis semana </t>
  </si>
  <si>
    <t>Total de dias com (DSR) Descanso Semanal Remunerado</t>
  </si>
  <si>
    <t>Total de horas/dia com (DSR)</t>
  </si>
  <si>
    <t xml:space="preserve">Total de dias no mês (30 dias) </t>
  </si>
  <si>
    <t>Total geral de horas mês com (DSR)</t>
  </si>
  <si>
    <t>Total geral de horas base mês com (DSR)</t>
  </si>
  <si>
    <t xml:space="preserve">Fator de utilização </t>
  </si>
  <si>
    <t>Segunda a sexta</t>
  </si>
  <si>
    <t xml:space="preserve">Total de horas por funcionário </t>
  </si>
  <si>
    <t>Total por Funcionário</t>
  </si>
  <si>
    <t>Licença Maternidade/Paternidade</t>
  </si>
  <si>
    <t>Boné</t>
  </si>
  <si>
    <t>Protetor solar FPS 30</t>
  </si>
  <si>
    <t>frasco 120g</t>
  </si>
  <si>
    <t xml:space="preserve">Quantidade de trabalhadores </t>
  </si>
  <si>
    <t>Colete reflexivo</t>
  </si>
  <si>
    <t>Luva de proteção</t>
  </si>
  <si>
    <t>CUSTO TOTAL MENSAL COM DESPESAS OPERACIONAIS (R$/mês)</t>
  </si>
  <si>
    <t>Vale Transporte</t>
  </si>
  <si>
    <t>R$</t>
  </si>
  <si>
    <t>Dias Trabalhados por mês</t>
  </si>
  <si>
    <t>dia</t>
  </si>
  <si>
    <t>vale</t>
  </si>
  <si>
    <t>Motorista</t>
  </si>
  <si>
    <t>R$/km rodado</t>
  </si>
  <si>
    <t>Fator de utilização</t>
  </si>
  <si>
    <t xml:space="preserve">4. Administração Local/Veículo de Apoio </t>
  </si>
  <si>
    <t>Motorista/Encarregado (50% do valor)</t>
  </si>
  <si>
    <t>3° Quartil</t>
  </si>
  <si>
    <t>Composição do BDI - Benefícios e Despesas Indiretas</t>
  </si>
  <si>
    <t>Total por funcionário</t>
  </si>
  <si>
    <t>Veículo de apoio (manutenção/consumo e outros)</t>
  </si>
  <si>
    <t>Encarregado</t>
  </si>
  <si>
    <t>4. Benefícios e Despesas Indiretas</t>
  </si>
  <si>
    <t xml:space="preserve">Obs: cada empresa deverá prever seus encargos sociais e impostos conforme determina a legislação de sua atividade. </t>
  </si>
  <si>
    <t>4. Custo Mensal Com BDI</t>
  </si>
  <si>
    <t xml:space="preserve">Plano de Benefício Social </t>
  </si>
  <si>
    <t xml:space="preserve">Camisa manga curta </t>
  </si>
  <si>
    <t xml:space="preserve">Camisa manga longa </t>
  </si>
  <si>
    <t xml:space="preserve">Botina, ou tenis compatível  </t>
  </si>
  <si>
    <t>Protetor facial</t>
  </si>
  <si>
    <t xml:space="preserve">3.1. Depreciação/manutenção/ferramentas </t>
  </si>
  <si>
    <t xml:space="preserve">Roçadeira costal </t>
  </si>
  <si>
    <t>Vida útil</t>
  </si>
  <si>
    <t>anos</t>
  </si>
  <si>
    <t>Idade do equipamento</t>
  </si>
  <si>
    <t>Depreciação</t>
  </si>
  <si>
    <t>Depreciação mensal</t>
  </si>
  <si>
    <t xml:space="preserve">ano </t>
  </si>
  <si>
    <t>Custo de manutenção dos equipamentos e ferramentas</t>
  </si>
  <si>
    <t xml:space="preserve">mês </t>
  </si>
  <si>
    <t>Km/rodados/mês</t>
  </si>
  <si>
    <t xml:space="preserve">Total geral c/despesas de equipamentos e ferram. </t>
  </si>
  <si>
    <t xml:space="preserve">Piso da categoria Base </t>
  </si>
  <si>
    <t>Custo Mensal com Equipamentos/Ferramentas e Materiais de Consumo (R$/mês)</t>
  </si>
  <si>
    <t xml:space="preserve">Composição dos Encargos Sociais </t>
  </si>
  <si>
    <t>CAGED</t>
  </si>
  <si>
    <t>Cargo: Atividades de limpeza urbana</t>
  </si>
  <si>
    <t>Planilha com os horários dos funcionários - limpeza urbana</t>
  </si>
  <si>
    <t>Litros (1 litro/hora)</t>
  </si>
  <si>
    <t>Contratação serviços de limpeza urbana em Tapejara</t>
  </si>
  <si>
    <t xml:space="preserve">Prefeitura Municipal de Tapejara </t>
  </si>
  <si>
    <t xml:space="preserve">Obs: considerado 220 horas/mês c/DSR para cada funcionário.  </t>
  </si>
  <si>
    <t>1.1. Categoria Profissional Prestador de Serviços (limpeza urbana) CBO 5142</t>
  </si>
  <si>
    <t>1.2. Jardineiro CBO 6220</t>
  </si>
  <si>
    <t>1.3. Motorista</t>
  </si>
  <si>
    <t>1.5. Vale Transporte</t>
  </si>
  <si>
    <t xml:space="preserve">Limpeza Urbana </t>
  </si>
  <si>
    <t xml:space="preserve">Jardineiro </t>
  </si>
  <si>
    <t xml:space="preserve">1.6. Auxílio Refeição </t>
  </si>
  <si>
    <t>Jaqueta</t>
  </si>
  <si>
    <t xml:space="preserve">Capa de chuva </t>
  </si>
  <si>
    <t xml:space="preserve">Máquina de cortar grama a gasolina 4 rodas </t>
  </si>
  <si>
    <t xml:space="preserve">Soprador/aspirador de folhas </t>
  </si>
  <si>
    <t xml:space="preserve">Motossera </t>
  </si>
  <si>
    <t xml:space="preserve">Idade do veículo </t>
  </si>
  <si>
    <t xml:space="preserve">IPVA Veículos </t>
  </si>
  <si>
    <t xml:space="preserve">Mês </t>
  </si>
  <si>
    <t>%/mês</t>
  </si>
  <si>
    <t>KM</t>
  </si>
  <si>
    <t xml:space="preserve">Seguro contra terceiros Veículo </t>
  </si>
  <si>
    <t>Escada de aluminio</t>
  </si>
  <si>
    <r>
      <rPr>
        <sz val="11"/>
        <rFont val="Arial"/>
        <family val="2"/>
      </rPr>
      <t>Rastéis</t>
    </r>
  </si>
  <si>
    <r>
      <rPr>
        <sz val="11"/>
        <rFont val="Arial"/>
        <family val="2"/>
      </rPr>
      <t>R$ 13,90</t>
    </r>
  </si>
  <si>
    <r>
      <rPr>
        <sz val="11"/>
        <rFont val="Arial"/>
        <family val="2"/>
      </rPr>
      <t>Pá de Concha</t>
    </r>
  </si>
  <si>
    <r>
      <rPr>
        <sz val="11"/>
        <rFont val="Arial"/>
        <family val="2"/>
      </rPr>
      <t>R$ 35,00</t>
    </r>
  </si>
  <si>
    <r>
      <rPr>
        <sz val="11"/>
        <rFont val="Arial"/>
        <family val="2"/>
      </rPr>
      <t>Enxada</t>
    </r>
  </si>
  <si>
    <r>
      <rPr>
        <sz val="11"/>
        <rFont val="Arial"/>
        <family val="2"/>
      </rPr>
      <t>R$ 38,00</t>
    </r>
  </si>
  <si>
    <r>
      <rPr>
        <sz val="11"/>
        <rFont val="Arial"/>
        <family val="2"/>
      </rPr>
      <t>Vassoura 40 cm</t>
    </r>
  </si>
  <si>
    <r>
      <rPr>
        <sz val="11"/>
        <rFont val="Arial"/>
        <family val="2"/>
      </rPr>
      <t>R$ 16,80</t>
    </r>
  </si>
  <si>
    <t>Carrinho de mão</t>
  </si>
  <si>
    <t>Unid</t>
  </si>
  <si>
    <r>
      <t>Sub Total</t>
    </r>
    <r>
      <rPr>
        <b/>
        <sz val="11"/>
        <rFont val="Arial"/>
        <family val="2"/>
      </rPr>
      <t xml:space="preserve"> - anual</t>
    </r>
  </si>
  <si>
    <t>Durab. Meses</t>
  </si>
  <si>
    <t xml:space="preserve">Descrição </t>
  </si>
  <si>
    <t>Valor R$</t>
  </si>
  <si>
    <t>Total ano</t>
  </si>
  <si>
    <t xml:space="preserve">AGÊNCIA NACIONAL DO PETRÓLEO, GÁS NATURAL E BIOCOMBUSTÍVEIS - ANP </t>
  </si>
  <si>
    <t xml:space="preserve">COORDENADORIA DE DEFESA DA CONCORRÊNCIA </t>
  </si>
  <si>
    <t xml:space="preserve">SISTEMA DE LEVANTAMENTO DE PREÇOS </t>
  </si>
  <si>
    <t>Síntese dos Preços Praticados - PASSO FUNDO</t>
  </si>
  <si>
    <t xml:space="preserve">Resumo I - GASOLINA COMUM R$/l </t>
  </si>
  <si>
    <t xml:space="preserve">Período: De 24/04/2022 a 30/04/2022 </t>
  </si>
  <si>
    <t>RELAÇÃO DE POSTOS PESQUISADOS</t>
  </si>
  <si>
    <t>RAZÃO SOCIAL</t>
  </si>
  <si>
    <t>ENDEREÇO</t>
  </si>
  <si>
    <t>BAIRRO</t>
  </si>
  <si>
    <t>BANDEIRA</t>
  </si>
  <si>
    <t>PREÇO VENDA</t>
  </si>
  <si>
    <t>DATA COLETA</t>
  </si>
  <si>
    <t>POSTO DE COMBUSTIVEIS BROCK E CIFRA LTDA</t>
  </si>
  <si>
    <t>AVENIDA BRASIL LESTE, 85</t>
  </si>
  <si>
    <t>Centro</t>
  </si>
  <si>
    <t>IPIRANGA</t>
  </si>
  <si>
    <t>S S COMERCIO DE COMBUSTIVEIS SA</t>
  </si>
  <si>
    <t>AVENIDA PRESIDENTE VARGAS, 1348</t>
  </si>
  <si>
    <t>Vila Rodrigues</t>
  </si>
  <si>
    <t>RICARDO BONAMIGO TONIAL - EIRELI</t>
  </si>
  <si>
    <t>AVENIDA BRASIL OESTE, 2369 SALA A</t>
  </si>
  <si>
    <t>Boqueirao</t>
  </si>
  <si>
    <t>MP POSTOS E LOGISTICA LTDA</t>
  </si>
  <si>
    <t>AVENIDA BRASIL OESTE, 2210</t>
  </si>
  <si>
    <t>RAIZEN</t>
  </si>
  <si>
    <t>AVENIDA ASPIRANTE JENNER, 1133</t>
  </si>
  <si>
    <t>Lucas Araujo</t>
  </si>
  <si>
    <t>SIM REDE DE POSTOS LTDA</t>
  </si>
  <si>
    <t>AVENIDA BRASIL OESTE, 3438</t>
  </si>
  <si>
    <t>VIBRA ENERGIA</t>
  </si>
  <si>
    <t>AVENIDA PRESIDENTE VARGAS, 3767</t>
  </si>
  <si>
    <t>Sao Cristovao</t>
  </si>
  <si>
    <t>AUTO POSTO BR PASSO FUNDO LTDA</t>
  </si>
  <si>
    <t>AVENIDA BRASIL LESTE, 2336</t>
  </si>
  <si>
    <t>Sao Jose</t>
  </si>
  <si>
    <t>MÉDIA</t>
  </si>
  <si>
    <t>DESVIO PADRÃO</t>
  </si>
  <si>
    <t>VALOR MÍNIMO</t>
  </si>
  <si>
    <t>VALOR MÁXIMO</t>
  </si>
  <si>
    <t>Data de Emissão : 01/05/2022</t>
  </si>
  <si>
    <t xml:space="preserve">Resumo I - OLEO DIESEL S10 R$/l </t>
  </si>
  <si>
    <t>POSTO DE COMBUSTIVEIS MJ LTDA</t>
  </si>
  <si>
    <t>AVENIDA BRASIL, 588</t>
  </si>
  <si>
    <t>MAXSUL</t>
  </si>
  <si>
    <t xml:space="preserve">Litros mês </t>
  </si>
  <si>
    <t>Total geral equipamentos e ferramentas diversas referente ao mês</t>
  </si>
  <si>
    <t>Total Geral R$</t>
  </si>
  <si>
    <t>Equipamentos e Ferramentas diversas (previstas em um ano)</t>
  </si>
  <si>
    <t xml:space="preserve">Galpão p/guarda dos veículos, equip. e ferram. (aluguel e despesas do local) </t>
  </si>
  <si>
    <t xml:space="preserve">3. Veículos, equipamentos/ferramentas </t>
  </si>
  <si>
    <t>Custo do veículo de apoio (manut/deprec. e comb)</t>
  </si>
  <si>
    <t xml:space="preserve">Micro-ônibus - veículo de apoio transp. Funcion. 30 lug. </t>
  </si>
  <si>
    <t xml:space="preserve">Obs: considerado 215 horas/mês c/DSR </t>
  </si>
  <si>
    <t>1.4. Supervisor dos Serviços CBO4101-5</t>
  </si>
  <si>
    <t>Obs: considerado 220 horas/mês c/DSR (Salário de R$2.078,55 mais o INPC de 10,24947% da data base até agora)</t>
  </si>
  <si>
    <t>Remuneração do capital Taxa Selic (11,75% ao ano)</t>
  </si>
  <si>
    <t>Custo de combustível das roçadeiras (média 40 horas dia) Considerado gasolina atráves da Tabela ANP</t>
  </si>
  <si>
    <t>Custo de aquisição de equipamentos e ferramentas conforme Termo de Referência e Planilha em Anexo</t>
  </si>
  <si>
    <t>Custo/previsão no mês</t>
  </si>
  <si>
    <t>Custo manutenção e insumos do veículo (20km/dia x 25 dias no mês)</t>
  </si>
  <si>
    <t>Sacos de lixo de 100litros, sendo 02 unid para cada funcionário/dia</t>
  </si>
  <si>
    <t>Custo com combustível (3,3/km litro) veículos Cfe ANP</t>
  </si>
  <si>
    <t xml:space="preserve">Carrinho de varrição </t>
  </si>
  <si>
    <t xml:space="preserve">Broxas de pintura </t>
  </si>
  <si>
    <t xml:space="preserve">Tesouras para poda </t>
  </si>
  <si>
    <t>Serrotes para poda</t>
  </si>
  <si>
    <t xml:space="preserve">Machado </t>
  </si>
  <si>
    <t xml:space="preserve">Baldes 8 litros </t>
  </si>
  <si>
    <t>Atividades de Varredor/gari</t>
  </si>
  <si>
    <t>Jardineiro</t>
  </si>
  <si>
    <t xml:space="preserve">Sábado </t>
  </si>
  <si>
    <t xml:space="preserve">Obs: de segunda a sexta-feira contempla 02 horas de intervalo .  </t>
  </si>
  <si>
    <t xml:space="preserve">Motorista/Encarregado </t>
  </si>
  <si>
    <t>Periodicidade: Segunda à sábado</t>
  </si>
  <si>
    <t>1.7. Auxílio Lanche (aos sábados)</t>
  </si>
  <si>
    <t>1.8. Vale Alimentação (mensal)</t>
  </si>
  <si>
    <t xml:space="preserve">1.9. Plano de Benefício Social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</si>
</sst>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 &quot;R$&quot;\ * #,##0.00_ ;_ &quot;R$&quot;\ * \-#,##0.00_ ;_ &quot;R$&quot;\ * &quot;-&quot;??_ ;_ @_ "/>
    <numFmt numFmtId="165" formatCode="&quot;R$ &quot;#,##0.00_);\(&quot;R$ &quot;#,##0.00\)"/>
    <numFmt numFmtId="166" formatCode="_(* #,##0.00_);_(* \(#,##0.00\);_(* &quot;-&quot;??_);_(@_)"/>
    <numFmt numFmtId="167" formatCode="_(* #,##0_);_(* \(#,##0\);_(* &quot;-&quot;??_);_(@_)"/>
    <numFmt numFmtId="168" formatCode="&quot;R$ &quot;#,##0.00"/>
    <numFmt numFmtId="169" formatCode="0.0000"/>
    <numFmt numFmtId="170" formatCode="_(* #,##0.0000_);_(* \(#,##0.0000\);_(* &quot;-&quot;??_);_(@_)"/>
    <numFmt numFmtId="171" formatCode="_-[$R$-416]\ * #,##0.00_-;\-[$R$-416]\ * #,##0.00_-;_-[$R$-416]\ * &quot;-&quot;??_-;_-@_-"/>
    <numFmt numFmtId="172" formatCode="_-* #,##0.0_-;\-* #,##0.0_-;_-* &quot;-&quot;??_-;_-@_-"/>
    <numFmt numFmtId="173" formatCode="_ * #,##0.00_ ;_ * \-#,##0.00_ ;_ * &quot;-&quot;??_ ;_ @_ "/>
    <numFmt numFmtId="174" formatCode="0.00000"/>
    <numFmt numFmtId="175" formatCode="_(* #,##0.00_);_(* \(#,##0.00\);_(* \-??_);_(@_)"/>
    <numFmt numFmtId="176" formatCode="_(* #,##0_);_(* \(#,##0\);_(* \-??_);_(@_)"/>
    <numFmt numFmtId="177" formatCode="_-&quot;R$ &quot;* #,##0.00_-;&quot;-R$ &quot;* #,##0.00_-;_-&quot;R$ &quot;* \-??_-;_-@_-"/>
    <numFmt numFmtId="178" formatCode="_(* #,##0.000_);_(* \(#,##0.000\);_(* \-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  <charset val="1"/>
    </font>
    <font>
      <b/>
      <u/>
      <sz val="10"/>
      <color indexed="12"/>
      <name val="Arial"/>
      <family val="2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rgb="FF666699"/>
      </patternFill>
    </fill>
    <fill>
      <patternFill patternType="solid">
        <fgColor rgb="FFD9D9D9"/>
      </patternFill>
    </fill>
    <fill>
      <patternFill patternType="solid">
        <fgColor rgb="FF6094AE"/>
        <bgColor indexed="64"/>
      </patternFill>
    </fill>
    <fill>
      <patternFill patternType="solid">
        <fgColor rgb="FFEFEFE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4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448">
    <xf numFmtId="0" fontId="0" fillId="0" borderId="0" xfId="0"/>
    <xf numFmtId="0" fontId="10" fillId="0" borderId="0" xfId="0" applyFont="1"/>
    <xf numFmtId="0" fontId="0" fillId="0" borderId="0" xfId="0" applyAlignment="1">
      <alignment vertical="center"/>
    </xf>
    <xf numFmtId="166" fontId="0" fillId="0" borderId="0" xfId="3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6" fontId="10" fillId="0" borderId="0" xfId="3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66" fontId="7" fillId="0" borderId="0" xfId="3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166" fontId="7" fillId="0" borderId="6" xfId="3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6" fontId="10" fillId="0" borderId="6" xfId="3" applyFont="1" applyBorder="1" applyAlignment="1">
      <alignment vertical="center"/>
    </xf>
    <xf numFmtId="166" fontId="10" fillId="0" borderId="7" xfId="3" applyFont="1" applyBorder="1" applyAlignment="1">
      <alignment vertical="center"/>
    </xf>
    <xf numFmtId="166" fontId="7" fillId="0" borderId="0" xfId="3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6" fontId="7" fillId="0" borderId="0" xfId="3" applyFont="1" applyBorder="1" applyAlignment="1">
      <alignment vertical="center"/>
    </xf>
    <xf numFmtId="166" fontId="9" fillId="0" borderId="0" xfId="3" applyFont="1" applyAlignment="1">
      <alignment vertical="center"/>
    </xf>
    <xf numFmtId="166" fontId="0" fillId="0" borderId="9" xfId="3" applyFont="1" applyBorder="1" applyAlignment="1">
      <alignment vertical="center"/>
    </xf>
    <xf numFmtId="166" fontId="7" fillId="0" borderId="10" xfId="3" applyFont="1" applyBorder="1" applyAlignment="1">
      <alignment horizontal="center" vertical="center"/>
    </xf>
    <xf numFmtId="166" fontId="7" fillId="0" borderId="5" xfId="3" applyFont="1" applyBorder="1" applyAlignment="1">
      <alignment horizontal="left" vertical="center"/>
    </xf>
    <xf numFmtId="4" fontId="7" fillId="0" borderId="6" xfId="0" applyNumberFormat="1" applyFont="1" applyBorder="1" applyAlignment="1">
      <alignment horizontal="centerContinuous" vertical="center"/>
    </xf>
    <xf numFmtId="166" fontId="7" fillId="0" borderId="0" xfId="3" applyFont="1" applyAlignment="1">
      <alignment vertical="center"/>
    </xf>
    <xf numFmtId="166" fontId="0" fillId="0" borderId="8" xfId="0" applyNumberFormat="1" applyBorder="1" applyAlignment="1">
      <alignment vertical="center"/>
    </xf>
    <xf numFmtId="166" fontId="0" fillId="0" borderId="8" xfId="3" applyFont="1" applyBorder="1" applyAlignment="1">
      <alignment vertical="center"/>
    </xf>
    <xf numFmtId="166" fontId="0" fillId="0" borderId="12" xfId="3" applyFont="1" applyBorder="1" applyAlignment="1">
      <alignment vertical="center"/>
    </xf>
    <xf numFmtId="166" fontId="10" fillId="0" borderId="1" xfId="3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6" fontId="8" fillId="0" borderId="0" xfId="3" applyFont="1" applyBorder="1" applyAlignment="1">
      <alignment vertical="center"/>
    </xf>
    <xf numFmtId="166" fontId="10" fillId="0" borderId="0" xfId="3" applyFont="1" applyBorder="1" applyAlignment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166" fontId="14" fillId="2" borderId="15" xfId="3" applyFont="1" applyFill="1" applyBorder="1" applyAlignment="1">
      <alignment horizontal="center" vertical="center"/>
    </xf>
    <xf numFmtId="166" fontId="14" fillId="2" borderId="16" xfId="3" applyFont="1" applyFill="1" applyBorder="1" applyAlignment="1">
      <alignment horizontal="center" vertical="center"/>
    </xf>
    <xf numFmtId="166" fontId="7" fillId="0" borderId="17" xfId="3" applyFont="1" applyBorder="1" applyAlignment="1">
      <alignment horizontal="center" vertical="center"/>
    </xf>
    <xf numFmtId="166" fontId="5" fillId="0" borderId="12" xfId="3" applyFont="1" applyBorder="1" applyAlignment="1">
      <alignment horizontal="left" vertical="center"/>
    </xf>
    <xf numFmtId="166" fontId="10" fillId="0" borderId="8" xfId="3" applyFont="1" applyBorder="1" applyAlignment="1">
      <alignment vertical="center"/>
    </xf>
    <xf numFmtId="167" fontId="10" fillId="0" borderId="0" xfId="3" applyNumberFormat="1" applyFont="1" applyBorder="1" applyAlignment="1">
      <alignment horizontal="center" vertical="center"/>
    </xf>
    <xf numFmtId="166" fontId="7" fillId="0" borderId="26" xfId="3" applyFont="1" applyBorder="1" applyAlignment="1">
      <alignment vertical="center"/>
    </xf>
    <xf numFmtId="4" fontId="7" fillId="0" borderId="27" xfId="0" applyNumberFormat="1" applyFont="1" applyBorder="1" applyAlignment="1">
      <alignment vertical="center"/>
    </xf>
    <xf numFmtId="166" fontId="10" fillId="0" borderId="9" xfId="3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vertical="center"/>
    </xf>
    <xf numFmtId="1" fontId="7" fillId="0" borderId="29" xfId="3" applyNumberFormat="1" applyFont="1" applyBorder="1" applyAlignment="1">
      <alignment horizontal="center" vertical="center"/>
    </xf>
    <xf numFmtId="0" fontId="7" fillId="0" borderId="0" xfId="0" applyFont="1"/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166" fontId="14" fillId="2" borderId="31" xfId="3" applyFont="1" applyFill="1" applyBorder="1" applyAlignment="1">
      <alignment horizontal="center" vertical="center"/>
    </xf>
    <xf numFmtId="165" fontId="7" fillId="0" borderId="32" xfId="0" applyNumberFormat="1" applyFont="1" applyBorder="1" applyAlignment="1">
      <alignment vertical="center"/>
    </xf>
    <xf numFmtId="166" fontId="7" fillId="0" borderId="33" xfId="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6" fontId="10" fillId="0" borderId="0" xfId="3" applyFont="1" applyAlignment="1">
      <alignment horizontal="right" vertical="center"/>
    </xf>
    <xf numFmtId="166" fontId="7" fillId="0" borderId="12" xfId="3" applyFont="1" applyBorder="1" applyAlignment="1">
      <alignment vertical="center"/>
    </xf>
    <xf numFmtId="166" fontId="7" fillId="0" borderId="8" xfId="0" applyNumberFormat="1" applyFont="1" applyBorder="1" applyAlignment="1">
      <alignment vertical="center"/>
    </xf>
    <xf numFmtId="166" fontId="7" fillId="0" borderId="8" xfId="3" applyFont="1" applyBorder="1" applyAlignment="1">
      <alignment vertical="center"/>
    </xf>
    <xf numFmtId="166" fontId="7" fillId="0" borderId="12" xfId="3" applyFont="1" applyBorder="1" applyAlignment="1">
      <alignment horizontal="left" vertical="center"/>
    </xf>
    <xf numFmtId="4" fontId="7" fillId="0" borderId="8" xfId="0" applyNumberFormat="1" applyFont="1" applyBorder="1" applyAlignment="1">
      <alignment horizontal="centerContinuous" vertical="center"/>
    </xf>
    <xf numFmtId="4" fontId="10" fillId="0" borderId="0" xfId="0" applyNumberFormat="1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6" fillId="0" borderId="0" xfId="0" applyFont="1" applyFill="1" applyAlignment="1">
      <alignment vertical="center"/>
    </xf>
    <xf numFmtId="0" fontId="0" fillId="0" borderId="36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6" fontId="0" fillId="0" borderId="0" xfId="3" applyFont="1" applyFill="1" applyBorder="1" applyAlignment="1">
      <alignment vertical="center"/>
    </xf>
    <xf numFmtId="166" fontId="0" fillId="0" borderId="37" xfId="3" applyFont="1" applyFill="1" applyBorder="1" applyAlignment="1">
      <alignment vertical="center"/>
    </xf>
    <xf numFmtId="167" fontId="7" fillId="0" borderId="0" xfId="3" applyNumberFormat="1" applyFont="1" applyBorder="1" applyAlignment="1">
      <alignment horizontal="center" vertical="center"/>
    </xf>
    <xf numFmtId="0" fontId="17" fillId="0" borderId="12" xfId="0" applyFont="1" applyBorder="1"/>
    <xf numFmtId="0" fontId="10" fillId="0" borderId="0" xfId="0" applyFont="1" applyBorder="1"/>
    <xf numFmtId="0" fontId="17" fillId="0" borderId="43" xfId="0" applyFont="1" applyBorder="1"/>
    <xf numFmtId="0" fontId="17" fillId="3" borderId="18" xfId="0" applyFont="1" applyFill="1" applyBorder="1"/>
    <xf numFmtId="0" fontId="17" fillId="0" borderId="21" xfId="0" applyFont="1" applyBorder="1"/>
    <xf numFmtId="0" fontId="17" fillId="0" borderId="47" xfId="0" applyFont="1" applyBorder="1"/>
    <xf numFmtId="0" fontId="17" fillId="0" borderId="44" xfId="0" applyFont="1" applyBorder="1"/>
    <xf numFmtId="0" fontId="17" fillId="0" borderId="48" xfId="0" applyFont="1" applyBorder="1"/>
    <xf numFmtId="0" fontId="17" fillId="0" borderId="18" xfId="0" applyFont="1" applyBorder="1"/>
    <xf numFmtId="0" fontId="17" fillId="0" borderId="26" xfId="0" applyFont="1" applyBorder="1"/>
    <xf numFmtId="0" fontId="18" fillId="0" borderId="2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10" fontId="18" fillId="0" borderId="18" xfId="0" applyNumberFormat="1" applyFont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10" fontId="19" fillId="0" borderId="18" xfId="0" applyNumberFormat="1" applyFont="1" applyBorder="1" applyAlignment="1">
      <alignment horizontal="right" vertical="center"/>
    </xf>
    <xf numFmtId="0" fontId="18" fillId="5" borderId="2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/>
    </xf>
    <xf numFmtId="10" fontId="19" fillId="5" borderId="18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10" fontId="10" fillId="0" borderId="0" xfId="0" applyNumberFormat="1" applyFont="1"/>
    <xf numFmtId="9" fontId="18" fillId="0" borderId="0" xfId="2" applyFont="1" applyBorder="1" applyAlignment="1">
      <alignment horizontal="right" vertical="center"/>
    </xf>
    <xf numFmtId="10" fontId="10" fillId="0" borderId="0" xfId="0" applyNumberFormat="1" applyFont="1" applyBorder="1"/>
    <xf numFmtId="0" fontId="18" fillId="0" borderId="1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18" fillId="8" borderId="22" xfId="0" applyFont="1" applyFill="1" applyBorder="1" applyAlignment="1">
      <alignment horizontal="left" vertical="center"/>
    </xf>
    <xf numFmtId="0" fontId="19" fillId="8" borderId="34" xfId="0" applyFont="1" applyFill="1" applyBorder="1" applyAlignment="1">
      <alignment horizontal="left" vertical="center"/>
    </xf>
    <xf numFmtId="10" fontId="19" fillId="8" borderId="35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10" fontId="19" fillId="0" borderId="0" xfId="0" applyNumberFormat="1" applyFont="1" applyFill="1" applyBorder="1" applyAlignment="1">
      <alignment horizontal="right" vertical="center"/>
    </xf>
    <xf numFmtId="10" fontId="18" fillId="0" borderId="0" xfId="0" applyNumberFormat="1" applyFont="1" applyFill="1" applyBorder="1" applyAlignment="1">
      <alignment horizontal="right" vertical="center"/>
    </xf>
    <xf numFmtId="10" fontId="18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10" fontId="19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justify" vertical="center"/>
    </xf>
    <xf numFmtId="0" fontId="12" fillId="0" borderId="0" xfId="1" applyFont="1" applyBorder="1" applyAlignment="1" applyProtection="1">
      <alignment horizontal="left" vertical="center"/>
    </xf>
    <xf numFmtId="0" fontId="23" fillId="0" borderId="0" xfId="0" applyFont="1" applyBorder="1"/>
    <xf numFmtId="0" fontId="18" fillId="0" borderId="0" xfId="0" applyFont="1" applyBorder="1" applyAlignment="1">
      <alignment horizontal="right" vertical="center"/>
    </xf>
    <xf numFmtId="0" fontId="12" fillId="0" borderId="0" xfId="1" applyFont="1" applyBorder="1" applyAlignment="1" applyProtection="1">
      <alignment vertical="center"/>
    </xf>
    <xf numFmtId="0" fontId="9" fillId="0" borderId="13" xfId="0" applyFont="1" applyBorder="1"/>
    <xf numFmtId="0" fontId="9" fillId="0" borderId="21" xfId="0" applyFont="1" applyBorder="1"/>
    <xf numFmtId="0" fontId="9" fillId="3" borderId="18" xfId="0" applyFont="1" applyFill="1" applyBorder="1"/>
    <xf numFmtId="0" fontId="9" fillId="0" borderId="43" xfId="0" applyFont="1" applyBorder="1"/>
    <xf numFmtId="0" fontId="9" fillId="3" borderId="44" xfId="0" applyFont="1" applyFill="1" applyBorder="1"/>
    <xf numFmtId="0" fontId="9" fillId="0" borderId="45" xfId="0" applyFont="1" applyBorder="1"/>
    <xf numFmtId="0" fontId="9" fillId="3" borderId="46" xfId="0" applyFont="1" applyFill="1" applyBorder="1"/>
    <xf numFmtId="0" fontId="9" fillId="0" borderId="36" xfId="0" applyFont="1" applyBorder="1"/>
    <xf numFmtId="0" fontId="9" fillId="0" borderId="37" xfId="0" applyFont="1" applyBorder="1"/>
    <xf numFmtId="0" fontId="11" fillId="0" borderId="44" xfId="0" applyFont="1" applyBorder="1"/>
    <xf numFmtId="9" fontId="11" fillId="0" borderId="44" xfId="0" applyNumberFormat="1" applyFont="1" applyBorder="1"/>
    <xf numFmtId="0" fontId="11" fillId="0" borderId="36" xfId="0" applyFont="1" applyFill="1" applyBorder="1" applyAlignment="1">
      <alignment horizontal="left" vertical="center"/>
    </xf>
    <xf numFmtId="0" fontId="9" fillId="0" borderId="0" xfId="0" applyFont="1" applyBorder="1"/>
    <xf numFmtId="9" fontId="9" fillId="0" borderId="21" xfId="2" applyFont="1" applyBorder="1"/>
    <xf numFmtId="9" fontId="9" fillId="0" borderId="1" xfId="2" applyFont="1" applyBorder="1" applyAlignment="1">
      <alignment horizontal="center"/>
    </xf>
    <xf numFmtId="9" fontId="9" fillId="0" borderId="18" xfId="2" applyFont="1" applyBorder="1"/>
    <xf numFmtId="0" fontId="9" fillId="0" borderId="19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center" vertical="center"/>
    </xf>
    <xf numFmtId="10" fontId="9" fillId="3" borderId="10" xfId="0" applyNumberFormat="1" applyFont="1" applyFill="1" applyBorder="1" applyAlignment="1">
      <alignment horizontal="center" vertical="center"/>
    </xf>
    <xf numFmtId="10" fontId="9" fillId="0" borderId="18" xfId="2" applyNumberFormat="1" applyFont="1" applyBorder="1"/>
    <xf numFmtId="0" fontId="9" fillId="0" borderId="2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0" fontId="9" fillId="3" borderId="18" xfId="0" applyNumberFormat="1" applyFont="1" applyFill="1" applyBorder="1" applyAlignment="1">
      <alignment horizontal="center" vertical="center"/>
    </xf>
    <xf numFmtId="10" fontId="9" fillId="3" borderId="1" xfId="2" applyNumberFormat="1" applyFont="1" applyFill="1" applyBorder="1" applyAlignment="1">
      <alignment horizontal="center"/>
    </xf>
    <xf numFmtId="0" fontId="9" fillId="0" borderId="18" xfId="0" applyFont="1" applyBorder="1"/>
    <xf numFmtId="0" fontId="9" fillId="0" borderId="22" xfId="0" applyFont="1" applyFill="1" applyBorder="1" applyAlignment="1">
      <alignment horizontal="left" vertical="center"/>
    </xf>
    <xf numFmtId="10" fontId="9" fillId="3" borderId="35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3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10" fontId="9" fillId="0" borderId="25" xfId="0" applyNumberFormat="1" applyFont="1" applyFill="1" applyBorder="1" applyAlignment="1">
      <alignment vertical="center"/>
    </xf>
    <xf numFmtId="0" fontId="9" fillId="0" borderId="26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vertical="center"/>
    </xf>
    <xf numFmtId="0" fontId="11" fillId="5" borderId="5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/>
    </xf>
    <xf numFmtId="10" fontId="9" fillId="0" borderId="21" xfId="2" applyNumberFormat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10" fontId="9" fillId="0" borderId="18" xfId="2" applyNumberFormat="1" applyFont="1" applyBorder="1" applyAlignment="1">
      <alignment horizontal="right"/>
    </xf>
    <xf numFmtId="10" fontId="9" fillId="0" borderId="22" xfId="2" applyNumberFormat="1" applyFont="1" applyBorder="1" applyAlignment="1">
      <alignment horizontal="right"/>
    </xf>
    <xf numFmtId="10" fontId="9" fillId="0" borderId="34" xfId="2" applyNumberFormat="1" applyFont="1" applyBorder="1" applyAlignment="1">
      <alignment horizontal="right"/>
    </xf>
    <xf numFmtId="10" fontId="9" fillId="0" borderId="35" xfId="2" applyNumberFormat="1" applyFont="1" applyBorder="1" applyAlignment="1">
      <alignment horizontal="right"/>
    </xf>
    <xf numFmtId="166" fontId="7" fillId="0" borderId="9" xfId="3" applyFont="1" applyBorder="1" applyAlignment="1">
      <alignment vertical="center"/>
    </xf>
    <xf numFmtId="166" fontId="7" fillId="0" borderId="5" xfId="3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wrapText="1"/>
    </xf>
    <xf numFmtId="0" fontId="5" fillId="0" borderId="0" xfId="0" applyFont="1"/>
    <xf numFmtId="169" fontId="17" fillId="0" borderId="44" xfId="0" applyNumberFormat="1" applyFont="1" applyBorder="1"/>
    <xf numFmtId="169" fontId="11" fillId="0" borderId="44" xfId="0" applyNumberFormat="1" applyFont="1" applyBorder="1"/>
    <xf numFmtId="169" fontId="11" fillId="0" borderId="29" xfId="0" applyNumberFormat="1" applyFont="1" applyBorder="1"/>
    <xf numFmtId="0" fontId="9" fillId="0" borderId="21" xfId="0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6" fontId="10" fillId="0" borderId="38" xfId="3" applyFont="1" applyBorder="1" applyAlignment="1">
      <alignment vertical="center"/>
    </xf>
    <xf numFmtId="0" fontId="0" fillId="0" borderId="38" xfId="0" applyBorder="1" applyAlignment="1">
      <alignment vertical="center"/>
    </xf>
    <xf numFmtId="166" fontId="5" fillId="0" borderId="40" xfId="3" applyFont="1" applyBorder="1" applyAlignment="1">
      <alignment vertical="center"/>
    </xf>
    <xf numFmtId="166" fontId="5" fillId="0" borderId="0" xfId="3" applyFont="1" applyAlignment="1">
      <alignment vertical="center"/>
    </xf>
    <xf numFmtId="0" fontId="26" fillId="10" borderId="5" xfId="0" applyFont="1" applyFill="1" applyBorder="1" applyAlignment="1">
      <alignment vertical="center"/>
    </xf>
    <xf numFmtId="0" fontId="26" fillId="10" borderId="6" xfId="0" applyFont="1" applyFill="1" applyBorder="1" applyAlignment="1">
      <alignment vertical="center"/>
    </xf>
    <xf numFmtId="166" fontId="26" fillId="10" borderId="6" xfId="3" applyFont="1" applyFill="1" applyBorder="1" applyAlignment="1">
      <alignment vertical="center"/>
    </xf>
    <xf numFmtId="166" fontId="26" fillId="10" borderId="7" xfId="3" applyFont="1" applyFill="1" applyBorder="1" applyAlignment="1">
      <alignment vertical="center"/>
    </xf>
    <xf numFmtId="0" fontId="27" fillId="10" borderId="6" xfId="0" applyFont="1" applyFill="1" applyBorder="1" applyAlignment="1">
      <alignment vertical="center"/>
    </xf>
    <xf numFmtId="166" fontId="27" fillId="10" borderId="6" xfId="3" applyFont="1" applyFill="1" applyBorder="1" applyAlignment="1">
      <alignment vertical="center"/>
    </xf>
    <xf numFmtId="166" fontId="27" fillId="10" borderId="7" xfId="3" applyFont="1" applyFill="1" applyBorder="1" applyAlignment="1">
      <alignment vertical="center"/>
    </xf>
    <xf numFmtId="44" fontId="26" fillId="10" borderId="4" xfId="4" applyFont="1" applyFill="1" applyBorder="1" applyAlignment="1">
      <alignment horizontal="center" vertical="center"/>
    </xf>
    <xf numFmtId="44" fontId="26" fillId="10" borderId="4" xfId="4" applyFont="1" applyFill="1" applyBorder="1" applyAlignment="1">
      <alignment vertical="center"/>
    </xf>
    <xf numFmtId="44" fontId="7" fillId="2" borderId="4" xfId="4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70" fontId="10" fillId="0" borderId="1" xfId="3" applyNumberFormat="1" applyFont="1" applyBorder="1" applyAlignment="1">
      <alignment vertical="center"/>
    </xf>
    <xf numFmtId="170" fontId="10" fillId="0" borderId="0" xfId="3" applyNumberFormat="1" applyFont="1" applyBorder="1" applyAlignment="1">
      <alignment vertical="center"/>
    </xf>
    <xf numFmtId="10" fontId="9" fillId="0" borderId="1" xfId="0" applyNumberFormat="1" applyFont="1" applyBorder="1" applyAlignment="1">
      <alignment horizontal="center"/>
    </xf>
    <xf numFmtId="170" fontId="10" fillId="0" borderId="0" xfId="3" applyNumberFormat="1" applyFont="1" applyAlignment="1">
      <alignment vertical="center"/>
    </xf>
    <xf numFmtId="166" fontId="7" fillId="4" borderId="0" xfId="3" applyFont="1" applyFill="1" applyBorder="1" applyAlignment="1">
      <alignment horizontal="center" vertical="center"/>
    </xf>
    <xf numFmtId="166" fontId="7" fillId="0" borderId="8" xfId="3" applyFont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44" fontId="26" fillId="4" borderId="0" xfId="4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4" fontId="5" fillId="4" borderId="1" xfId="0" applyNumberFormat="1" applyFont="1" applyFill="1" applyBorder="1" applyAlignment="1">
      <alignment vertical="center"/>
    </xf>
    <xf numFmtId="44" fontId="5" fillId="4" borderId="0" xfId="4" applyFont="1" applyFill="1" applyBorder="1" applyAlignment="1">
      <alignment vertical="center"/>
    </xf>
    <xf numFmtId="166" fontId="14" fillId="2" borderId="10" xfId="3" applyFont="1" applyFill="1" applyBorder="1" applyAlignment="1">
      <alignment horizontal="center" vertical="center"/>
    </xf>
    <xf numFmtId="10" fontId="7" fillId="0" borderId="13" xfId="2" applyNumberFormat="1" applyFont="1" applyBorder="1" applyAlignment="1">
      <alignment horizontal="center" vertical="center"/>
    </xf>
    <xf numFmtId="10" fontId="0" fillId="0" borderId="13" xfId="2" applyNumberFormat="1" applyFont="1" applyBorder="1" applyAlignment="1">
      <alignment horizontal="center" vertical="center"/>
    </xf>
    <xf numFmtId="9" fontId="7" fillId="0" borderId="16" xfId="2" applyFont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66" fontId="5" fillId="0" borderId="12" xfId="3" applyFont="1" applyBorder="1" applyAlignment="1">
      <alignment vertical="center"/>
    </xf>
    <xf numFmtId="166" fontId="7" fillId="0" borderId="17" xfId="3" applyFont="1" applyBorder="1" applyAlignment="1">
      <alignment vertical="center"/>
    </xf>
    <xf numFmtId="1" fontId="10" fillId="0" borderId="1" xfId="3" applyNumberFormat="1" applyFont="1" applyFill="1" applyBorder="1" applyAlignment="1">
      <alignment horizontal="center" vertical="center"/>
    </xf>
    <xf numFmtId="171" fontId="10" fillId="0" borderId="2" xfId="3" applyNumberFormat="1" applyFont="1" applyBorder="1" applyAlignment="1">
      <alignment horizontal="center" vertical="center"/>
    </xf>
    <xf numFmtId="171" fontId="10" fillId="0" borderId="1" xfId="3" applyNumberFormat="1" applyFont="1" applyFill="1" applyBorder="1" applyAlignment="1">
      <alignment horizontal="center" vertical="center"/>
    </xf>
    <xf numFmtId="171" fontId="10" fillId="0" borderId="1" xfId="3" applyNumberFormat="1" applyFont="1" applyBorder="1" applyAlignment="1">
      <alignment horizontal="center" vertical="center"/>
    </xf>
    <xf numFmtId="171" fontId="7" fillId="0" borderId="0" xfId="3" applyNumberFormat="1" applyFont="1" applyAlignment="1">
      <alignment horizontal="center" vertical="center"/>
    </xf>
    <xf numFmtId="44" fontId="7" fillId="2" borderId="7" xfId="4" applyFont="1" applyFill="1" applyBorder="1" applyAlignment="1">
      <alignment horizontal="center" vertical="center"/>
    </xf>
    <xf numFmtId="44" fontId="10" fillId="0" borderId="2" xfId="4" applyFont="1" applyBorder="1" applyAlignment="1">
      <alignment horizontal="center" vertical="center"/>
    </xf>
    <xf numFmtId="44" fontId="10" fillId="0" borderId="1" xfId="4" applyFont="1" applyBorder="1" applyAlignment="1">
      <alignment horizontal="center" vertical="center"/>
    </xf>
    <xf numFmtId="44" fontId="10" fillId="0" borderId="1" xfId="4" applyFont="1" applyFill="1" applyBorder="1" applyAlignment="1">
      <alignment horizontal="center" vertical="center"/>
    </xf>
    <xf numFmtId="44" fontId="7" fillId="0" borderId="0" xfId="4" applyFont="1" applyAlignment="1">
      <alignment horizontal="center" vertical="center"/>
    </xf>
    <xf numFmtId="44" fontId="7" fillId="0" borderId="8" xfId="4" applyFont="1" applyBorder="1" applyAlignment="1">
      <alignment horizontal="center" vertical="center"/>
    </xf>
    <xf numFmtId="44" fontId="10" fillId="3" borderId="1" xfId="4" applyFont="1" applyFill="1" applyBorder="1" applyAlignment="1">
      <alignment horizontal="center" vertical="center"/>
    </xf>
    <xf numFmtId="44" fontId="5" fillId="3" borderId="2" xfId="4" applyFont="1" applyFill="1" applyBorder="1" applyAlignment="1">
      <alignment horizontal="center" vertical="center"/>
    </xf>
    <xf numFmtId="44" fontId="5" fillId="0" borderId="1" xfId="4" applyFont="1" applyBorder="1" applyAlignment="1">
      <alignment horizontal="center" vertical="center"/>
    </xf>
    <xf numFmtId="171" fontId="5" fillId="0" borderId="3" xfId="3" applyNumberFormat="1" applyFont="1" applyBorder="1" applyAlignment="1">
      <alignment horizontal="center" vertical="center"/>
    </xf>
    <xf numFmtId="171" fontId="5" fillId="0" borderId="1" xfId="3" applyNumberFormat="1" applyFont="1" applyBorder="1" applyAlignment="1">
      <alignment horizontal="center" vertical="center"/>
    </xf>
    <xf numFmtId="1" fontId="7" fillId="3" borderId="10" xfId="3" applyNumberFormat="1" applyFont="1" applyFill="1" applyBorder="1" applyAlignment="1">
      <alignment horizontal="center" vertical="center"/>
    </xf>
    <xf numFmtId="44" fontId="7" fillId="3" borderId="46" xfId="4" applyFont="1" applyFill="1" applyBorder="1" applyAlignment="1">
      <alignment horizontal="center" vertical="center"/>
    </xf>
    <xf numFmtId="1" fontId="7" fillId="3" borderId="46" xfId="3" applyNumberFormat="1" applyFont="1" applyFill="1" applyBorder="1" applyAlignment="1">
      <alignment horizontal="center" vertical="center"/>
    </xf>
    <xf numFmtId="1" fontId="7" fillId="3" borderId="18" xfId="3" applyNumberFormat="1" applyFont="1" applyFill="1" applyBorder="1" applyAlignment="1">
      <alignment horizontal="center" vertical="center"/>
    </xf>
    <xf numFmtId="44" fontId="7" fillId="3" borderId="18" xfId="4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6" fontId="7" fillId="0" borderId="11" xfId="3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7" fillId="4" borderId="4" xfId="2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166" fontId="7" fillId="0" borderId="0" xfId="3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centerContinuous" vertical="center"/>
    </xf>
    <xf numFmtId="165" fontId="7" fillId="0" borderId="0" xfId="0" applyNumberFormat="1" applyFont="1" applyBorder="1" applyAlignment="1">
      <alignment vertical="center"/>
    </xf>
    <xf numFmtId="9" fontId="7" fillId="0" borderId="0" xfId="2" applyFont="1" applyBorder="1" applyAlignment="1">
      <alignment horizontal="center" vertical="center"/>
    </xf>
    <xf numFmtId="9" fontId="10" fillId="0" borderId="0" xfId="2" applyFont="1" applyAlignment="1">
      <alignment vertical="center"/>
    </xf>
    <xf numFmtId="44" fontId="10" fillId="0" borderId="0" xfId="0" applyNumberFormat="1" applyFont="1" applyAlignment="1">
      <alignment vertical="center"/>
    </xf>
    <xf numFmtId="171" fontId="10" fillId="0" borderId="0" xfId="0" applyNumberFormat="1" applyFont="1" applyAlignment="1">
      <alignment vertical="center"/>
    </xf>
    <xf numFmtId="171" fontId="7" fillId="0" borderId="3" xfId="3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7" fillId="0" borderId="0" xfId="4" applyFont="1" applyFill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6" fontId="5" fillId="0" borderId="6" xfId="3" applyFont="1" applyBorder="1" applyAlignment="1">
      <alignment vertical="center"/>
    </xf>
    <xf numFmtId="166" fontId="5" fillId="0" borderId="7" xfId="3" applyFont="1" applyBorder="1" applyAlignment="1">
      <alignment vertical="center"/>
    </xf>
    <xf numFmtId="44" fontId="7" fillId="2" borderId="0" xfId="4" applyFont="1" applyFill="1" applyBorder="1" applyAlignment="1">
      <alignment vertical="center"/>
    </xf>
    <xf numFmtId="44" fontId="10" fillId="3" borderId="1" xfId="4" applyFont="1" applyFill="1" applyBorder="1" applyAlignment="1">
      <alignment vertical="center"/>
    </xf>
    <xf numFmtId="0" fontId="30" fillId="0" borderId="0" xfId="5" applyFont="1"/>
    <xf numFmtId="0" fontId="4" fillId="0" borderId="0" xfId="6"/>
    <xf numFmtId="0" fontId="29" fillId="0" borderId="0" xfId="6" applyFont="1"/>
    <xf numFmtId="0" fontId="29" fillId="0" borderId="1" xfId="6" applyFont="1" applyBorder="1"/>
    <xf numFmtId="0" fontId="29" fillId="0" borderId="1" xfId="6" applyFont="1" applyBorder="1" applyAlignment="1">
      <alignment horizontal="center"/>
    </xf>
    <xf numFmtId="20" fontId="29" fillId="0" borderId="1" xfId="6" applyNumberFormat="1" applyFont="1" applyBorder="1"/>
    <xf numFmtId="166" fontId="4" fillId="0" borderId="0" xfId="3" applyFont="1"/>
    <xf numFmtId="43" fontId="4" fillId="0" borderId="0" xfId="6" applyNumberFormat="1"/>
    <xf numFmtId="0" fontId="4" fillId="0" borderId="50" xfId="6" applyBorder="1"/>
    <xf numFmtId="0" fontId="4" fillId="0" borderId="8" xfId="6" applyBorder="1"/>
    <xf numFmtId="166" fontId="4" fillId="0" borderId="1" xfId="3" applyFont="1" applyBorder="1"/>
    <xf numFmtId="0" fontId="4" fillId="0" borderId="50" xfId="6" applyFont="1" applyBorder="1"/>
    <xf numFmtId="0" fontId="4" fillId="0" borderId="1" xfId="6" applyBorder="1"/>
    <xf numFmtId="0" fontId="29" fillId="0" borderId="50" xfId="6" applyFont="1" applyBorder="1"/>
    <xf numFmtId="0" fontId="29" fillId="0" borderId="8" xfId="6" applyFont="1" applyBorder="1"/>
    <xf numFmtId="166" fontId="29" fillId="0" borderId="1" xfId="3" applyFont="1" applyBorder="1"/>
    <xf numFmtId="10" fontId="29" fillId="0" borderId="1" xfId="2" applyNumberFormat="1" applyFont="1" applyBorder="1"/>
    <xf numFmtId="166" fontId="7" fillId="0" borderId="12" xfId="3" applyFont="1" applyBorder="1" applyAlignment="1">
      <alignment horizontal="left" vertical="center"/>
    </xf>
    <xf numFmtId="166" fontId="7" fillId="0" borderId="8" xfId="3" applyFont="1" applyBorder="1" applyAlignment="1">
      <alignment horizontal="left" vertical="center"/>
    </xf>
    <xf numFmtId="174" fontId="4" fillId="0" borderId="0" xfId="6" applyNumberFormat="1"/>
    <xf numFmtId="0" fontId="5" fillId="0" borderId="1" xfId="0" applyFont="1" applyBorder="1" applyAlignment="1">
      <alignment horizontal="center" vertical="center"/>
    </xf>
    <xf numFmtId="13" fontId="5" fillId="3" borderId="1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6" fontId="5" fillId="3" borderId="2" xfId="3" applyFont="1" applyFill="1" applyBorder="1" applyAlignment="1">
      <alignment horizontal="center" vertical="center"/>
    </xf>
    <xf numFmtId="166" fontId="5" fillId="0" borderId="1" xfId="3" applyFont="1" applyBorder="1" applyAlignment="1">
      <alignment horizontal="center" vertical="center"/>
    </xf>
    <xf numFmtId="166" fontId="5" fillId="0" borderId="0" xfId="3" applyFont="1" applyFill="1" applyBorder="1" applyAlignment="1">
      <alignment horizontal="center" vertical="center"/>
    </xf>
    <xf numFmtId="166" fontId="7" fillId="2" borderId="4" xfId="3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66" fontId="7" fillId="0" borderId="7" xfId="3" applyFont="1" applyBorder="1" applyAlignment="1">
      <alignment vertical="center"/>
    </xf>
    <xf numFmtId="166" fontId="7" fillId="2" borderId="4" xfId="3" applyFont="1" applyFill="1" applyBorder="1" applyAlignment="1">
      <alignment vertical="center"/>
    </xf>
    <xf numFmtId="166" fontId="7" fillId="0" borderId="12" xfId="3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166" fontId="5" fillId="0" borderId="0" xfId="0" applyNumberFormat="1" applyFont="1" applyAlignment="1">
      <alignment vertical="center"/>
    </xf>
    <xf numFmtId="167" fontId="5" fillId="0" borderId="1" xfId="3" applyNumberFormat="1" applyFont="1" applyBorder="1" applyAlignment="1">
      <alignment horizontal="center" vertical="center"/>
    </xf>
    <xf numFmtId="166" fontId="5" fillId="3" borderId="0" xfId="3" applyFont="1" applyFill="1" applyAlignment="1">
      <alignment vertical="center"/>
    </xf>
    <xf numFmtId="0" fontId="5" fillId="3" borderId="0" xfId="0" applyFont="1" applyFill="1" applyAlignment="1">
      <alignment vertical="center"/>
    </xf>
    <xf numFmtId="167" fontId="5" fillId="0" borderId="1" xfId="3" applyNumberFormat="1" applyFont="1" applyBorder="1" applyAlignment="1">
      <alignment vertical="center"/>
    </xf>
    <xf numFmtId="166" fontId="5" fillId="0" borderId="2" xfId="3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right" vertical="center"/>
    </xf>
    <xf numFmtId="168" fontId="0" fillId="0" borderId="1" xfId="0" applyNumberForma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8" fontId="7" fillId="0" borderId="34" xfId="0" applyNumberFormat="1" applyFont="1" applyBorder="1" applyAlignment="1">
      <alignment horizontal="right" vertical="center"/>
    </xf>
    <xf numFmtId="10" fontId="5" fillId="0" borderId="13" xfId="2" applyNumberFormat="1" applyFont="1" applyBorder="1" applyAlignment="1">
      <alignment horizontal="center" vertical="center"/>
    </xf>
    <xf numFmtId="44" fontId="5" fillId="0" borderId="2" xfId="4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6" fontId="5" fillId="0" borderId="0" xfId="3" applyFont="1" applyAlignment="1">
      <alignment horizontal="right" vertical="center"/>
    </xf>
    <xf numFmtId="166" fontId="5" fillId="0" borderId="1" xfId="3" applyFont="1" applyBorder="1" applyAlignment="1">
      <alignment vertical="center"/>
    </xf>
    <xf numFmtId="166" fontId="7" fillId="2" borderId="4" xfId="3" applyNumberFormat="1" applyFont="1" applyFill="1" applyBorder="1" applyAlignment="1">
      <alignment horizontal="center" vertical="center"/>
    </xf>
    <xf numFmtId="168" fontId="7" fillId="0" borderId="3" xfId="0" applyNumberFormat="1" applyFont="1" applyBorder="1" applyAlignment="1">
      <alignment horizontal="right" vertical="center"/>
    </xf>
    <xf numFmtId="167" fontId="5" fillId="0" borderId="1" xfId="3" applyNumberFormat="1" applyFont="1" applyFill="1" applyBorder="1" applyAlignment="1">
      <alignment vertical="center"/>
    </xf>
    <xf numFmtId="166" fontId="5" fillId="3" borderId="1" xfId="3" applyNumberFormat="1" applyFont="1" applyFill="1" applyBorder="1" applyAlignment="1">
      <alignment horizontal="center" vertical="center"/>
    </xf>
    <xf numFmtId="170" fontId="5" fillId="0" borderId="1" xfId="3" applyNumberFormat="1" applyFont="1" applyBorder="1" applyAlignment="1">
      <alignment vertical="center"/>
    </xf>
    <xf numFmtId="170" fontId="5" fillId="0" borderId="0" xfId="3" applyNumberFormat="1" applyFont="1" applyBorder="1" applyAlignment="1">
      <alignment vertical="center"/>
    </xf>
    <xf numFmtId="2" fontId="10" fillId="6" borderId="1" xfId="3" applyNumberFormat="1" applyFont="1" applyFill="1" applyBorder="1" applyAlignment="1">
      <alignment horizontal="center" vertical="center"/>
    </xf>
    <xf numFmtId="166" fontId="5" fillId="0" borderId="0" xfId="3" applyFont="1" applyFill="1" applyAlignment="1">
      <alignment vertical="center"/>
    </xf>
    <xf numFmtId="10" fontId="10" fillId="0" borderId="0" xfId="2" applyNumberFormat="1" applyFont="1" applyFill="1" applyAlignment="1">
      <alignment vertical="center"/>
    </xf>
    <xf numFmtId="166" fontId="10" fillId="0" borderId="0" xfId="3" applyFont="1" applyFill="1" applyAlignment="1">
      <alignment vertical="center"/>
    </xf>
    <xf numFmtId="10" fontId="11" fillId="5" borderId="7" xfId="2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71" fontId="10" fillId="3" borderId="2" xfId="3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177" fontId="32" fillId="3" borderId="2" xfId="4" applyNumberFormat="1" applyFont="1" applyFill="1" applyBorder="1" applyAlignment="1" applyProtection="1">
      <alignment horizontal="center" vertical="center"/>
    </xf>
    <xf numFmtId="177" fontId="32" fillId="0" borderId="2" xfId="4" applyNumberFormat="1" applyFont="1" applyBorder="1" applyAlignment="1" applyProtection="1">
      <alignment horizontal="center" vertical="center"/>
    </xf>
    <xf numFmtId="166" fontId="5" fillId="0" borderId="0" xfId="3" applyNumberFormat="1" applyFont="1" applyAlignment="1">
      <alignment vertical="center"/>
    </xf>
    <xf numFmtId="0" fontId="33" fillId="0" borderId="0" xfId="1" applyFont="1" applyAlignment="1" applyProtection="1">
      <alignment vertical="center"/>
    </xf>
    <xf numFmtId="0" fontId="34" fillId="11" borderId="5" xfId="0" applyFont="1" applyFill="1" applyBorder="1" applyAlignment="1">
      <alignment vertical="center"/>
    </xf>
    <xf numFmtId="0" fontId="35" fillId="11" borderId="6" xfId="0" applyFont="1" applyFill="1" applyBorder="1" applyAlignment="1">
      <alignment vertical="center"/>
    </xf>
    <xf numFmtId="175" fontId="35" fillId="11" borderId="6" xfId="3" applyNumberFormat="1" applyFont="1" applyFill="1" applyBorder="1" applyAlignment="1" applyProtection="1">
      <alignment vertical="center"/>
    </xf>
    <xf numFmtId="175" fontId="35" fillId="11" borderId="7" xfId="3" applyNumberFormat="1" applyFont="1" applyFill="1" applyBorder="1" applyAlignment="1" applyProtection="1">
      <alignment vertical="center"/>
    </xf>
    <xf numFmtId="177" fontId="34" fillId="11" borderId="4" xfId="4" applyNumberFormat="1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>
      <alignment vertical="center"/>
    </xf>
    <xf numFmtId="1" fontId="5" fillId="0" borderId="2" xfId="0" applyNumberFormat="1" applyFont="1" applyFill="1" applyBorder="1" applyAlignment="1">
      <alignment horizontal="center" vertical="center"/>
    </xf>
    <xf numFmtId="44" fontId="5" fillId="3" borderId="2" xfId="4" applyNumberFormat="1" applyFont="1" applyFill="1" applyBorder="1" applyAlignment="1">
      <alignment horizontal="center" vertical="center"/>
    </xf>
    <xf numFmtId="44" fontId="5" fillId="0" borderId="2" xfId="4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4" fontId="5" fillId="0" borderId="1" xfId="4" applyNumberFormat="1" applyFont="1" applyFill="1" applyBorder="1" applyAlignment="1">
      <alignment horizontal="center" vertical="center"/>
    </xf>
    <xf numFmtId="44" fontId="5" fillId="0" borderId="1" xfId="4" applyNumberFormat="1" applyFont="1" applyBorder="1" applyAlignment="1">
      <alignment horizontal="center" vertical="center"/>
    </xf>
    <xf numFmtId="166" fontId="5" fillId="0" borderId="0" xfId="3" applyNumberFormat="1" applyFont="1" applyAlignment="1">
      <alignment horizontal="center" vertical="center"/>
    </xf>
    <xf numFmtId="2" fontId="5" fillId="6" borderId="1" xfId="3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44" fontId="5" fillId="0" borderId="3" xfId="4" applyNumberFormat="1" applyFont="1" applyBorder="1" applyAlignment="1">
      <alignment horizontal="center" vertical="center"/>
    </xf>
    <xf numFmtId="44" fontId="7" fillId="0" borderId="3" xfId="4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7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2" fillId="0" borderId="2" xfId="0" applyFont="1" applyFill="1" applyBorder="1" applyAlignment="1">
      <alignment horizontal="center" vertical="center"/>
    </xf>
    <xf numFmtId="176" fontId="32" fillId="0" borderId="1" xfId="3" applyNumberFormat="1" applyFont="1" applyFill="1" applyBorder="1" applyAlignment="1" applyProtection="1">
      <alignment horizontal="center" vertical="center"/>
    </xf>
    <xf numFmtId="175" fontId="32" fillId="3" borderId="2" xfId="3" applyNumberFormat="1" applyFont="1" applyFill="1" applyBorder="1" applyAlignment="1" applyProtection="1">
      <alignment horizontal="center" vertical="center"/>
    </xf>
    <xf numFmtId="175" fontId="7" fillId="0" borderId="2" xfId="3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166" fontId="5" fillId="0" borderId="0" xfId="3" applyNumberFormat="1" applyFont="1" applyAlignment="1">
      <alignment horizontal="right" vertical="center"/>
    </xf>
    <xf numFmtId="166" fontId="5" fillId="0" borderId="1" xfId="3" applyNumberFormat="1" applyFont="1" applyBorder="1" applyAlignment="1">
      <alignment vertical="center"/>
    </xf>
    <xf numFmtId="0" fontId="29" fillId="0" borderId="0" xfId="6" applyFont="1" applyBorder="1"/>
    <xf numFmtId="20" fontId="29" fillId="0" borderId="0" xfId="6" applyNumberFormat="1" applyFont="1" applyBorder="1"/>
    <xf numFmtId="0" fontId="29" fillId="0" borderId="0" xfId="6" applyFont="1" applyBorder="1" applyAlignment="1">
      <alignment horizontal="left"/>
    </xf>
    <xf numFmtId="167" fontId="10" fillId="0" borderId="1" xfId="3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66" fontId="5" fillId="0" borderId="2" xfId="3" applyNumberFormat="1" applyFont="1" applyBorder="1" applyAlignment="1">
      <alignment horizontal="center" vertical="center"/>
    </xf>
    <xf numFmtId="167" fontId="5" fillId="0" borderId="2" xfId="3" applyNumberFormat="1" applyFont="1" applyBorder="1" applyAlignment="1">
      <alignment horizontal="center" vertical="center"/>
    </xf>
    <xf numFmtId="0" fontId="9" fillId="0" borderId="55" xfId="0" applyFont="1" applyFill="1" applyBorder="1" applyAlignment="1">
      <alignment horizontal="left" vertical="top" wrapText="1"/>
    </xf>
    <xf numFmtId="0" fontId="9" fillId="0" borderId="55" xfId="0" applyFont="1" applyFill="1" applyBorder="1" applyAlignment="1">
      <alignment horizontal="center" vertical="top" wrapText="1"/>
    </xf>
    <xf numFmtId="43" fontId="9" fillId="0" borderId="55" xfId="3" applyNumberFormat="1" applyFont="1" applyFill="1" applyBorder="1" applyAlignment="1">
      <alignment horizontal="right" vertical="top" wrapText="1"/>
    </xf>
    <xf numFmtId="4" fontId="19" fillId="12" borderId="55" xfId="0" applyNumberFormat="1" applyFont="1" applyFill="1" applyBorder="1" applyAlignment="1">
      <alignment horizontal="right" vertical="top" shrinkToFit="1"/>
    </xf>
    <xf numFmtId="0" fontId="9" fillId="0" borderId="52" xfId="0" applyFont="1" applyFill="1" applyBorder="1" applyAlignment="1">
      <alignment horizontal="center" vertical="top" wrapText="1"/>
    </xf>
    <xf numFmtId="0" fontId="9" fillId="0" borderId="59" xfId="0" applyFont="1" applyFill="1" applyBorder="1" applyAlignment="1">
      <alignment horizontal="left" vertical="top" wrapText="1"/>
    </xf>
    <xf numFmtId="0" fontId="9" fillId="0" borderId="59" xfId="0" applyFont="1" applyFill="1" applyBorder="1" applyAlignment="1">
      <alignment horizontal="center" vertical="top" wrapText="1"/>
    </xf>
    <xf numFmtId="0" fontId="9" fillId="0" borderId="60" xfId="0" applyFont="1" applyFill="1" applyBorder="1" applyAlignment="1">
      <alignment horizontal="center" vertical="top" wrapText="1"/>
    </xf>
    <xf numFmtId="43" fontId="9" fillId="0" borderId="59" xfId="3" applyNumberFormat="1" applyFont="1" applyFill="1" applyBorder="1" applyAlignment="1">
      <alignment horizontal="right" vertical="top" wrapText="1"/>
    </xf>
    <xf numFmtId="0" fontId="11" fillId="12" borderId="1" xfId="0" applyFont="1" applyFill="1" applyBorder="1" applyAlignment="1">
      <alignment horizontal="left" vertical="top" wrapText="1"/>
    </xf>
    <xf numFmtId="0" fontId="11" fillId="12" borderId="1" xfId="0" applyFont="1" applyFill="1" applyBorder="1" applyAlignment="1">
      <alignment horizontal="center" vertical="top" wrapText="1"/>
    </xf>
    <xf numFmtId="0" fontId="29" fillId="0" borderId="0" xfId="42" applyFont="1"/>
    <xf numFmtId="0" fontId="1" fillId="0" borderId="0" xfId="42"/>
    <xf numFmtId="0" fontId="29" fillId="0" borderId="0" xfId="42" applyFont="1" applyAlignment="1">
      <alignment wrapText="1"/>
    </xf>
    <xf numFmtId="0" fontId="29" fillId="0" borderId="55" xfId="42" applyFont="1" applyBorder="1" applyAlignment="1">
      <alignment horizontal="left" wrapText="1"/>
    </xf>
    <xf numFmtId="0" fontId="29" fillId="0" borderId="55" xfId="42" applyFont="1" applyBorder="1" applyAlignment="1">
      <alignment horizontal="center" wrapText="1"/>
    </xf>
    <xf numFmtId="0" fontId="1" fillId="0" borderId="55" xfId="42" applyBorder="1" applyAlignment="1">
      <alignment horizontal="left" wrapText="1"/>
    </xf>
    <xf numFmtId="0" fontId="1" fillId="0" borderId="55" xfId="42" applyBorder="1" applyAlignment="1">
      <alignment wrapText="1"/>
    </xf>
    <xf numFmtId="0" fontId="1" fillId="0" borderId="55" xfId="42" applyBorder="1" applyAlignment="1">
      <alignment horizontal="center" wrapText="1"/>
    </xf>
    <xf numFmtId="14" fontId="1" fillId="0" borderId="55" xfId="42" applyNumberFormat="1" applyBorder="1" applyAlignment="1">
      <alignment horizontal="center" wrapText="1"/>
    </xf>
    <xf numFmtId="0" fontId="29" fillId="0" borderId="55" xfId="42" applyFont="1" applyBorder="1" applyAlignment="1">
      <alignment wrapText="1"/>
    </xf>
    <xf numFmtId="178" fontId="32" fillId="3" borderId="2" xfId="3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70" fontId="5" fillId="3" borderId="2" xfId="3" applyNumberFormat="1" applyFont="1" applyFill="1" applyBorder="1" applyAlignment="1">
      <alignment horizontal="center" vertical="center"/>
    </xf>
    <xf numFmtId="0" fontId="26" fillId="10" borderId="5" xfId="0" applyFont="1" applyFill="1" applyBorder="1" applyAlignment="1">
      <alignment horizontal="left" vertical="center"/>
    </xf>
    <xf numFmtId="0" fontId="26" fillId="10" borderId="6" xfId="0" applyFont="1" applyFill="1" applyBorder="1" applyAlignment="1">
      <alignment horizontal="left" vertical="center"/>
    </xf>
    <xf numFmtId="0" fontId="26" fillId="10" borderId="7" xfId="0" applyFont="1" applyFill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6" fillId="0" borderId="0" xfId="0" applyFont="1" applyAlignment="1">
      <alignment horizontal="left" vertical="justify"/>
    </xf>
    <xf numFmtId="0" fontId="6" fillId="0" borderId="49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24" fillId="10" borderId="0" xfId="0" applyFont="1" applyFill="1" applyBorder="1" applyAlignment="1">
      <alignment horizontal="center" vertical="center"/>
    </xf>
    <xf numFmtId="166" fontId="7" fillId="0" borderId="12" xfId="3" applyFont="1" applyBorder="1" applyAlignment="1">
      <alignment horizontal="left" vertical="center"/>
    </xf>
    <xf numFmtId="166" fontId="7" fillId="0" borderId="8" xfId="3" applyFont="1" applyBorder="1" applyAlignment="1">
      <alignment horizontal="left" vertical="center"/>
    </xf>
    <xf numFmtId="0" fontId="11" fillId="7" borderId="40" xfId="0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 vertical="center"/>
    </xf>
    <xf numFmtId="0" fontId="11" fillId="7" borderId="41" xfId="0" applyFont="1" applyFill="1" applyBorder="1" applyAlignment="1">
      <alignment horizontal="center" vertical="center"/>
    </xf>
    <xf numFmtId="166" fontId="7" fillId="0" borderId="5" xfId="3" applyFont="1" applyBorder="1" applyAlignment="1">
      <alignment horizontal="center" vertical="center"/>
    </xf>
    <xf numFmtId="166" fontId="7" fillId="0" borderId="6" xfId="3" applyFont="1" applyBorder="1" applyAlignment="1">
      <alignment horizontal="center" vertical="center"/>
    </xf>
    <xf numFmtId="166" fontId="7" fillId="0" borderId="39" xfId="3" applyFont="1" applyBorder="1" applyAlignment="1">
      <alignment horizontal="center" vertical="center"/>
    </xf>
    <xf numFmtId="166" fontId="8" fillId="7" borderId="5" xfId="3" applyFont="1" applyFill="1" applyBorder="1" applyAlignment="1">
      <alignment horizontal="center" vertical="center"/>
    </xf>
    <xf numFmtId="166" fontId="8" fillId="7" borderId="6" xfId="3" applyFont="1" applyFill="1" applyBorder="1" applyAlignment="1">
      <alignment horizontal="center" vertical="center"/>
    </xf>
    <xf numFmtId="166" fontId="8" fillId="7" borderId="7" xfId="3" applyFont="1" applyFill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justify"/>
    </xf>
    <xf numFmtId="0" fontId="16" fillId="7" borderId="24" xfId="0" applyFont="1" applyFill="1" applyBorder="1" applyAlignment="1">
      <alignment horizontal="center" vertical="justify"/>
    </xf>
    <xf numFmtId="0" fontId="16" fillId="7" borderId="25" xfId="0" applyFont="1" applyFill="1" applyBorder="1" applyAlignment="1">
      <alignment horizontal="center" vertical="justify"/>
    </xf>
    <xf numFmtId="0" fontId="16" fillId="7" borderId="36" xfId="0" applyFont="1" applyFill="1" applyBorder="1" applyAlignment="1">
      <alignment horizontal="center" vertical="justify"/>
    </xf>
    <xf numFmtId="0" fontId="16" fillId="7" borderId="0" xfId="0" applyFont="1" applyFill="1" applyBorder="1" applyAlignment="1">
      <alignment horizontal="center" vertical="justify"/>
    </xf>
    <xf numFmtId="0" fontId="16" fillId="7" borderId="37" xfId="0" applyFont="1" applyFill="1" applyBorder="1" applyAlignment="1">
      <alignment horizontal="center" vertical="justify"/>
    </xf>
    <xf numFmtId="0" fontId="16" fillId="7" borderId="19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9" borderId="17" xfId="0" applyFont="1" applyFill="1" applyBorder="1" applyAlignment="1">
      <alignment horizontal="center"/>
    </xf>
    <xf numFmtId="0" fontId="16" fillId="9" borderId="42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28" fillId="0" borderId="12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9" fontId="11" fillId="0" borderId="19" xfId="2" applyFont="1" applyBorder="1" applyAlignment="1">
      <alignment horizontal="center"/>
    </xf>
    <xf numFmtId="9" fontId="11" fillId="0" borderId="20" xfId="2" applyFont="1" applyBorder="1" applyAlignment="1">
      <alignment horizontal="center"/>
    </xf>
    <xf numFmtId="9" fontId="11" fillId="0" borderId="10" xfId="2" applyFont="1" applyBorder="1" applyAlignment="1">
      <alignment horizontal="center"/>
    </xf>
    <xf numFmtId="0" fontId="8" fillId="9" borderId="23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8" fillId="9" borderId="25" xfId="0" applyFont="1" applyFill="1" applyBorder="1" applyAlignment="1">
      <alignment horizontal="center" vertical="center"/>
    </xf>
    <xf numFmtId="43" fontId="9" fillId="0" borderId="52" xfId="3" applyNumberFormat="1" applyFont="1" applyFill="1" applyBorder="1" applyAlignment="1">
      <alignment horizontal="right" vertical="top" wrapText="1"/>
    </xf>
    <xf numFmtId="43" fontId="9" fillId="0" borderId="54" xfId="3" applyNumberFormat="1" applyFont="1" applyFill="1" applyBorder="1" applyAlignment="1">
      <alignment horizontal="right" vertical="top" wrapText="1"/>
    </xf>
    <xf numFmtId="0" fontId="11" fillId="0" borderId="52" xfId="0" applyFont="1" applyFill="1" applyBorder="1" applyAlignment="1">
      <alignment horizontal="left" vertical="top" wrapText="1"/>
    </xf>
    <xf numFmtId="0" fontId="11" fillId="0" borderId="53" xfId="0" applyFont="1" applyFill="1" applyBorder="1" applyAlignment="1">
      <alignment horizontal="left" vertical="top" wrapText="1"/>
    </xf>
    <xf numFmtId="0" fontId="11" fillId="0" borderId="54" xfId="0" applyFont="1" applyFill="1" applyBorder="1" applyAlignment="1">
      <alignment horizontal="left" vertical="top" wrapText="1"/>
    </xf>
    <xf numFmtId="0" fontId="11" fillId="12" borderId="52" xfId="0" applyFont="1" applyFill="1" applyBorder="1" applyAlignment="1">
      <alignment horizontal="left" vertical="top" wrapText="1"/>
    </xf>
    <xf numFmtId="0" fontId="11" fillId="12" borderId="53" xfId="0" applyFont="1" applyFill="1" applyBorder="1" applyAlignment="1">
      <alignment horizontal="left" vertical="top" wrapText="1"/>
    </xf>
    <xf numFmtId="0" fontId="11" fillId="12" borderId="54" xfId="0" applyFont="1" applyFill="1" applyBorder="1" applyAlignment="1">
      <alignment horizontal="left" vertical="top" wrapText="1"/>
    </xf>
    <xf numFmtId="0" fontId="11" fillId="12" borderId="56" xfId="0" applyFont="1" applyFill="1" applyBorder="1" applyAlignment="1">
      <alignment horizontal="left" vertical="top" wrapText="1"/>
    </xf>
    <xf numFmtId="0" fontId="11" fillId="12" borderId="57" xfId="0" applyFont="1" applyFill="1" applyBorder="1" applyAlignment="1">
      <alignment horizontal="left" vertical="top" wrapText="1"/>
    </xf>
    <xf numFmtId="0" fontId="11" fillId="12" borderId="58" xfId="0" applyFont="1" applyFill="1" applyBorder="1" applyAlignment="1">
      <alignment horizontal="left" vertical="top" wrapText="1"/>
    </xf>
    <xf numFmtId="43" fontId="9" fillId="0" borderId="61" xfId="3" applyNumberFormat="1" applyFont="1" applyFill="1" applyBorder="1" applyAlignment="1">
      <alignment horizontal="right" vertical="top" wrapText="1"/>
    </xf>
    <xf numFmtId="43" fontId="9" fillId="0" borderId="62" xfId="3" applyNumberFormat="1" applyFont="1" applyFill="1" applyBorder="1" applyAlignment="1">
      <alignment horizontal="right" vertical="top" wrapText="1"/>
    </xf>
    <xf numFmtId="0" fontId="11" fillId="12" borderId="50" xfId="0" applyFont="1" applyFill="1" applyBorder="1" applyAlignment="1">
      <alignment horizontal="center" vertical="top" wrapText="1"/>
    </xf>
    <xf numFmtId="0" fontId="11" fillId="12" borderId="51" xfId="0" applyFont="1" applyFill="1" applyBorder="1" applyAlignment="1">
      <alignment horizontal="center" vertical="top" wrapText="1"/>
    </xf>
    <xf numFmtId="0" fontId="29" fillId="14" borderId="52" xfId="42" applyFont="1" applyFill="1" applyBorder="1" applyAlignment="1">
      <alignment horizontal="center" vertical="center" wrapText="1"/>
    </xf>
    <xf numFmtId="0" fontId="29" fillId="14" borderId="54" xfId="42" applyFont="1" applyFill="1" applyBorder="1" applyAlignment="1">
      <alignment horizontal="center" vertical="center" wrapText="1"/>
    </xf>
    <xf numFmtId="0" fontId="29" fillId="0" borderId="0" xfId="42" applyFont="1" applyAlignment="1">
      <alignment wrapText="1"/>
    </xf>
    <xf numFmtId="0" fontId="29" fillId="13" borderId="52" xfId="42" applyFont="1" applyFill="1" applyBorder="1" applyAlignment="1">
      <alignment horizontal="center" vertical="center" wrapText="1"/>
    </xf>
    <xf numFmtId="0" fontId="29" fillId="13" borderId="53" xfId="42" applyFont="1" applyFill="1" applyBorder="1" applyAlignment="1">
      <alignment horizontal="center" vertical="center" wrapText="1"/>
    </xf>
    <xf numFmtId="0" fontId="29" fillId="13" borderId="54" xfId="42" applyFont="1" applyFill="1" applyBorder="1" applyAlignment="1">
      <alignment horizontal="center" vertical="center" wrapText="1"/>
    </xf>
  </cellXfs>
  <cellStyles count="43">
    <cellStyle name="Hiperlink" xfId="1" builtinId="8"/>
    <cellStyle name="Moeda" xfId="4" builtinId="4"/>
    <cellStyle name="Moeda 2" xfId="7"/>
    <cellStyle name="Moeda 3" xfId="8"/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39"/>
    <cellStyle name="Normal 16 2" xfId="41"/>
    <cellStyle name="Normal 17" xfId="42"/>
    <cellStyle name="Normal 2" xfId="15"/>
    <cellStyle name="Normal 2 2" xfId="16"/>
    <cellStyle name="Normal 2 3" xfId="6"/>
    <cellStyle name="Normal 3" xfId="17"/>
    <cellStyle name="Normal 4" xfId="18"/>
    <cellStyle name="Normal 5" xfId="19"/>
    <cellStyle name="Normal 6" xfId="5"/>
    <cellStyle name="Normal 6 2" xfId="40"/>
    <cellStyle name="Normal 7" xfId="20"/>
    <cellStyle name="Normal 8" xfId="21"/>
    <cellStyle name="Normal 9" xfId="22"/>
    <cellStyle name="Porcentagem" xfId="2" builtinId="5"/>
    <cellStyle name="Porcentagem 2" xfId="23"/>
    <cellStyle name="Porcentagem 3" xfId="24"/>
    <cellStyle name="Separador de milhares 10" xfId="25"/>
    <cellStyle name="Separador de milhares 11" xfId="26"/>
    <cellStyle name="Separador de milhares 12" xfId="27"/>
    <cellStyle name="Separador de milhares 13" xfId="28"/>
    <cellStyle name="Separador de milhares 14" xfId="29"/>
    <cellStyle name="Separador de milhares 2" xfId="30"/>
    <cellStyle name="Separador de milhares 3" xfId="31"/>
    <cellStyle name="Separador de milhares 4" xfId="32"/>
    <cellStyle name="Separador de milhares 5" xfId="33"/>
    <cellStyle name="Separador de milhares 6" xfId="34"/>
    <cellStyle name="Separador de milhares 7" xfId="35"/>
    <cellStyle name="Separador de milhares 8" xfId="36"/>
    <cellStyle name="Separador de milhares 9" xfId="37"/>
    <cellStyle name="Vírgula" xfId="3" builtinId="3"/>
    <cellStyle name="Vírgula 2" xfId="38"/>
  </cellStyles>
  <dxfs count="0"/>
  <tableStyles count="0" defaultTableStyle="TableStyleMedium2" defaultPivotStyle="PivotStyleLight16"/>
  <colors>
    <mruColors>
      <color rgb="FFD438C1"/>
      <color rgb="FFFD11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7"/>
  <sheetViews>
    <sheetView tabSelected="1" zoomScaleSheetLayoutView="100" workbookViewId="0">
      <pane ySplit="1" topLeftCell="A184" activePane="bottomLeft" state="frozen"/>
      <selection activeCell="A2" sqref="A2:F3"/>
      <selection pane="bottomLeft" activeCell="I174" sqref="I174"/>
    </sheetView>
  </sheetViews>
  <sheetFormatPr defaultColWidth="9.140625" defaultRowHeight="12.75" x14ac:dyDescent="0.2"/>
  <cols>
    <col min="1" max="1" width="49.42578125" style="6" customWidth="1"/>
    <col min="2" max="2" width="16" style="6" bestFit="1" customWidth="1"/>
    <col min="3" max="3" width="14.5703125" style="6" customWidth="1"/>
    <col min="4" max="4" width="14.7109375" style="7" customWidth="1"/>
    <col min="5" max="5" width="15.42578125" style="7" customWidth="1"/>
    <col min="6" max="6" width="15" style="7" customWidth="1"/>
    <col min="7" max="7" width="28.140625" style="7" customWidth="1"/>
    <col min="8" max="8" width="23.85546875" style="6" hidden="1" customWidth="1"/>
    <col min="9" max="9" width="14.5703125" style="6" customWidth="1"/>
    <col min="10" max="10" width="13.42578125" style="6" customWidth="1"/>
    <col min="11" max="11" width="10.5703125" style="6" bestFit="1" customWidth="1"/>
    <col min="12" max="16384" width="9.140625" style="6"/>
  </cols>
  <sheetData>
    <row r="1" spans="1:7" s="2" customFormat="1" ht="21.75" customHeight="1" thickBot="1" x14ac:dyDescent="0.25">
      <c r="A1" s="390" t="s">
        <v>131</v>
      </c>
      <c r="B1" s="390"/>
      <c r="C1" s="390"/>
      <c r="D1" s="390"/>
      <c r="E1" s="390"/>
      <c r="F1" s="390"/>
      <c r="G1" s="3"/>
    </row>
    <row r="2" spans="1:7" s="5" customFormat="1" ht="15" customHeight="1" x14ac:dyDescent="0.2">
      <c r="A2" s="402" t="s">
        <v>227</v>
      </c>
      <c r="B2" s="403"/>
      <c r="C2" s="403"/>
      <c r="D2" s="403"/>
      <c r="E2" s="403"/>
      <c r="F2" s="404"/>
      <c r="G2" s="22"/>
    </row>
    <row r="3" spans="1:7" s="5" customFormat="1" ht="11.25" customHeight="1" x14ac:dyDescent="0.2">
      <c r="A3" s="405"/>
      <c r="B3" s="406"/>
      <c r="C3" s="406"/>
      <c r="D3" s="406"/>
      <c r="E3" s="406"/>
      <c r="F3" s="407"/>
      <c r="G3" s="22"/>
    </row>
    <row r="4" spans="1:7" s="5" customFormat="1" ht="21.75" customHeight="1" x14ac:dyDescent="0.2">
      <c r="A4" s="393" t="s">
        <v>15</v>
      </c>
      <c r="B4" s="394"/>
      <c r="C4" s="394"/>
      <c r="D4" s="394"/>
      <c r="E4" s="394"/>
      <c r="F4" s="395"/>
      <c r="G4" s="22"/>
    </row>
    <row r="5" spans="1:7" s="2" customFormat="1" ht="10.9" customHeight="1" thickBot="1" x14ac:dyDescent="0.25">
      <c r="A5" s="72"/>
      <c r="B5" s="73"/>
      <c r="C5" s="73"/>
      <c r="D5" s="74"/>
      <c r="E5" s="74"/>
      <c r="F5" s="75"/>
      <c r="G5" s="3"/>
    </row>
    <row r="6" spans="1:7" s="2" customFormat="1" ht="15.75" customHeight="1" thickBot="1" x14ac:dyDescent="0.25">
      <c r="A6" s="399" t="s">
        <v>110</v>
      </c>
      <c r="B6" s="400"/>
      <c r="C6" s="400"/>
      <c r="D6" s="400"/>
      <c r="E6" s="400"/>
      <c r="F6" s="401"/>
      <c r="G6" s="3"/>
    </row>
    <row r="7" spans="1:7" s="2" customFormat="1" ht="15.75" customHeight="1" x14ac:dyDescent="0.2">
      <c r="A7" s="40" t="s">
        <v>109</v>
      </c>
      <c r="B7" s="23"/>
      <c r="C7" s="23"/>
      <c r="D7" s="160"/>
      <c r="E7" s="56" t="s">
        <v>10</v>
      </c>
      <c r="F7" s="24" t="s">
        <v>1</v>
      </c>
      <c r="G7" s="3"/>
    </row>
    <row r="8" spans="1:7" s="8" customFormat="1" ht="15.75" customHeight="1" x14ac:dyDescent="0.2">
      <c r="A8" s="61" t="str">
        <f>A38</f>
        <v>1. Mão-de-obra</v>
      </c>
      <c r="B8" s="62"/>
      <c r="C8" s="63"/>
      <c r="D8" s="63"/>
      <c r="E8" s="287">
        <f>+F115</f>
        <v>199597.6434</v>
      </c>
      <c r="F8" s="198">
        <f t="shared" ref="F8:F22" si="0">IFERROR(E8/$E$23,0)</f>
        <v>0.75160202452220137</v>
      </c>
      <c r="G8" s="27"/>
    </row>
    <row r="9" spans="1:7" s="2" customFormat="1" ht="15.75" customHeight="1" x14ac:dyDescent="0.2">
      <c r="A9" s="30" t="str">
        <f>A39</f>
        <v>1.1. Categoria Profissional Prestador de Serviços (limpeza urbana) CBO 5142</v>
      </c>
      <c r="B9" s="28"/>
      <c r="C9" s="29"/>
      <c r="D9" s="29"/>
      <c r="E9" s="288">
        <f>F47</f>
        <v>136603.5</v>
      </c>
      <c r="F9" s="199">
        <f t="shared" si="0"/>
        <v>0.51439218122962338</v>
      </c>
      <c r="G9" s="3"/>
    </row>
    <row r="10" spans="1:7" s="2" customFormat="1" ht="15.75" customHeight="1" x14ac:dyDescent="0.2">
      <c r="A10" s="30" t="str">
        <f>A49</f>
        <v>1.2. Jardineiro CBO 6220</v>
      </c>
      <c r="B10" s="28"/>
      <c r="C10" s="29"/>
      <c r="D10" s="29"/>
      <c r="E10" s="288">
        <f>F57</f>
        <v>26807.435999999998</v>
      </c>
      <c r="F10" s="199">
        <f t="shared" si="0"/>
        <v>0.10094569668576228</v>
      </c>
      <c r="G10" s="3"/>
    </row>
    <row r="11" spans="1:7" s="2" customFormat="1" ht="15.75" customHeight="1" x14ac:dyDescent="0.2">
      <c r="A11" s="30" t="str">
        <f>A59</f>
        <v>1.3. Motorista</v>
      </c>
      <c r="B11" s="28"/>
      <c r="C11" s="29"/>
      <c r="D11" s="29"/>
      <c r="E11" s="288">
        <f>F67</f>
        <v>3895.7030000000004</v>
      </c>
      <c r="F11" s="199">
        <f t="shared" si="0"/>
        <v>1.4669603367357261E-2</v>
      </c>
      <c r="G11" s="3"/>
    </row>
    <row r="12" spans="1:7" s="2" customFormat="1" ht="15.75" customHeight="1" x14ac:dyDescent="0.2">
      <c r="A12" s="30" t="str">
        <f>A69</f>
        <v>1.4. Supervisor dos Serviços CBO4101-5</v>
      </c>
      <c r="B12" s="28"/>
      <c r="C12" s="29"/>
      <c r="D12" s="29"/>
      <c r="E12" s="288">
        <f>F77</f>
        <v>5468.780999999999</v>
      </c>
      <c r="F12" s="199">
        <f t="shared" si="0"/>
        <v>2.0593163332250787E-2</v>
      </c>
      <c r="G12" s="3"/>
    </row>
    <row r="13" spans="1:7" s="2" customFormat="1" ht="15.75" customHeight="1" x14ac:dyDescent="0.2">
      <c r="A13" s="30" t="str">
        <f>A79</f>
        <v>1.5. Vale Transporte</v>
      </c>
      <c r="B13" s="28"/>
      <c r="C13" s="29"/>
      <c r="D13" s="29"/>
      <c r="E13" s="288">
        <f>F86</f>
        <v>2363.7959999999998</v>
      </c>
      <c r="F13" s="199">
        <f t="shared" si="0"/>
        <v>8.9010763298294597E-3</v>
      </c>
      <c r="G13" s="3"/>
    </row>
    <row r="14" spans="1:7" s="2" customFormat="1" ht="15.75" customHeight="1" x14ac:dyDescent="0.2">
      <c r="A14" s="30" t="str">
        <f>A88</f>
        <v xml:space="preserve">1.6. Auxílio Refeição </v>
      </c>
      <c r="B14" s="28"/>
      <c r="C14" s="29"/>
      <c r="D14" s="29"/>
      <c r="E14" s="288">
        <f>F94</f>
        <v>21269.929799999998</v>
      </c>
      <c r="F14" s="199">
        <f t="shared" si="0"/>
        <v>8.0093742725647329E-2</v>
      </c>
      <c r="G14" s="3"/>
    </row>
    <row r="15" spans="1:7" s="2" customFormat="1" ht="15.75" customHeight="1" x14ac:dyDescent="0.2">
      <c r="A15" s="30" t="str">
        <f>A96</f>
        <v>1.7. Auxílio Lanche (aos sábados)</v>
      </c>
      <c r="B15" s="28"/>
      <c r="C15" s="29"/>
      <c r="D15" s="29"/>
      <c r="E15" s="288">
        <f>F102</f>
        <v>2025.7076000000002</v>
      </c>
      <c r="F15" s="199">
        <f t="shared" si="0"/>
        <v>7.6279754976806991E-3</v>
      </c>
      <c r="G15" s="3"/>
    </row>
    <row r="16" spans="1:7" s="2" customFormat="1" ht="15.75" customHeight="1" x14ac:dyDescent="0.2">
      <c r="A16" s="30" t="str">
        <f>A104</f>
        <v>1.8. Vale Alimentação (mensal)</v>
      </c>
      <c r="B16" s="28"/>
      <c r="C16" s="29"/>
      <c r="D16" s="29"/>
      <c r="E16" s="288">
        <f>F107</f>
        <v>123.59</v>
      </c>
      <c r="F16" s="199">
        <f>IFERROR(E16/$E$23,0)</f>
        <v>4.6538873219331239E-4</v>
      </c>
      <c r="G16" s="3"/>
    </row>
    <row r="17" spans="1:7" s="2" customFormat="1" ht="15.75" customHeight="1" x14ac:dyDescent="0.2">
      <c r="A17" s="30" t="str">
        <f>A109</f>
        <v xml:space="preserve">1.9. Plano de Benefício Social  </v>
      </c>
      <c r="B17" s="28"/>
      <c r="C17" s="29"/>
      <c r="D17" s="29"/>
      <c r="E17" s="288">
        <f>F113</f>
        <v>1039.2</v>
      </c>
      <c r="F17" s="199">
        <f>IFERROR(E17/$E$23,0)</f>
        <v>3.9131966218568671E-3</v>
      </c>
      <c r="G17" s="3"/>
    </row>
    <row r="18" spans="1:7" s="8" customFormat="1" ht="15.75" customHeight="1" x14ac:dyDescent="0.2">
      <c r="A18" s="391" t="str">
        <f>A117</f>
        <v>2. Uniformes e Equipamentos de Proteção Individual</v>
      </c>
      <c r="B18" s="392"/>
      <c r="C18" s="392"/>
      <c r="D18" s="63"/>
      <c r="E18" s="287">
        <f>+F134</f>
        <v>4282</v>
      </c>
      <c r="F18" s="198">
        <f t="shared" si="0"/>
        <v>1.6124237812539556E-2</v>
      </c>
      <c r="G18" s="27"/>
    </row>
    <row r="19" spans="1:7" s="8" customFormat="1" ht="15.75" customHeight="1" x14ac:dyDescent="0.2">
      <c r="A19" s="41" t="str">
        <f>A118</f>
        <v>2.1. Uniformes e EPIs</v>
      </c>
      <c r="B19" s="191"/>
      <c r="C19" s="191"/>
      <c r="D19" s="63"/>
      <c r="E19" s="289">
        <f>F132</f>
        <v>4282</v>
      </c>
      <c r="F19" s="291">
        <f t="shared" si="0"/>
        <v>1.6124237812539556E-2</v>
      </c>
      <c r="G19" s="27"/>
    </row>
    <row r="20" spans="1:7" s="8" customFormat="1" ht="15.75" customHeight="1" x14ac:dyDescent="0.2">
      <c r="A20" s="264" t="str">
        <f>A136</f>
        <v xml:space="preserve">3. Veículos, equipamentos/ferramentas </v>
      </c>
      <c r="B20" s="65"/>
      <c r="C20" s="63"/>
      <c r="D20" s="63"/>
      <c r="E20" s="287">
        <f>F187</f>
        <v>16705.903636363641</v>
      </c>
      <c r="F20" s="198">
        <f t="shared" si="0"/>
        <v>6.2907511234492453E-2</v>
      </c>
      <c r="G20" s="27"/>
    </row>
    <row r="21" spans="1:7" s="8" customFormat="1" ht="15.75" hidden="1" customHeight="1" x14ac:dyDescent="0.2">
      <c r="A21" s="279" t="str">
        <f>A189</f>
        <v xml:space="preserve">4. Administração Local/Veículo de Apoio </v>
      </c>
      <c r="B21" s="265"/>
      <c r="C21" s="265"/>
      <c r="D21" s="63"/>
      <c r="E21" s="299">
        <f>F195</f>
        <v>0</v>
      </c>
      <c r="F21" s="198">
        <f t="shared" si="0"/>
        <v>0</v>
      </c>
      <c r="G21" s="27"/>
    </row>
    <row r="22" spans="1:7" s="8" customFormat="1" ht="15.75" customHeight="1" thickBot="1" x14ac:dyDescent="0.25">
      <c r="A22" s="64" t="str">
        <f>A200</f>
        <v>4. Benefícios e Despesas Indiretas</v>
      </c>
      <c r="B22" s="65"/>
      <c r="C22" s="63"/>
      <c r="D22" s="63"/>
      <c r="E22" s="290">
        <f>F204</f>
        <v>44977.393040714545</v>
      </c>
      <c r="F22" s="198">
        <f t="shared" si="0"/>
        <v>0.16936622643076668</v>
      </c>
      <c r="G22" s="27"/>
    </row>
    <row r="23" spans="1:7" s="2" customFormat="1" ht="15.75" customHeight="1" thickBot="1" x14ac:dyDescent="0.25">
      <c r="A23" s="25" t="s">
        <v>147</v>
      </c>
      <c r="B23" s="26"/>
      <c r="C23" s="15"/>
      <c r="D23" s="15"/>
      <c r="E23" s="55">
        <f>E8+E18+E22+E20+E21</f>
        <v>265562.94007707818</v>
      </c>
      <c r="F23" s="200">
        <f>F8+F18+F22+F20+F21</f>
        <v>1</v>
      </c>
      <c r="G23" s="3"/>
    </row>
    <row r="24" spans="1:7" s="2" customFormat="1" ht="15.75" customHeight="1" x14ac:dyDescent="0.2">
      <c r="A24" s="230"/>
      <c r="B24" s="231"/>
      <c r="C24" s="21"/>
      <c r="D24" s="21"/>
      <c r="E24" s="232"/>
      <c r="F24" s="233"/>
      <c r="G24" s="3"/>
    </row>
    <row r="25" spans="1:7" s="2" customFormat="1" ht="15" hidden="1" customHeight="1" thickBot="1" x14ac:dyDescent="0.25">
      <c r="A25" s="399" t="s">
        <v>38</v>
      </c>
      <c r="B25" s="400"/>
      <c r="C25" s="400"/>
      <c r="D25" s="400"/>
      <c r="E25" s="401"/>
      <c r="F25" s="7"/>
      <c r="G25" s="3"/>
    </row>
    <row r="26" spans="1:7" s="2" customFormat="1" ht="15" hidden="1" customHeight="1" thickBot="1" x14ac:dyDescent="0.25">
      <c r="A26" s="396" t="s">
        <v>11</v>
      </c>
      <c r="B26" s="397"/>
      <c r="C26" s="397"/>
      <c r="D26" s="398"/>
      <c r="E26" s="226" t="s">
        <v>12</v>
      </c>
      <c r="F26" s="7"/>
      <c r="G26" s="3"/>
    </row>
    <row r="27" spans="1:7" s="2" customFormat="1" ht="15" hidden="1" customHeight="1" x14ac:dyDescent="0.2">
      <c r="A27" s="203" t="str">
        <f>+A39</f>
        <v>1.1. Categoria Profissional Prestador de Serviços (limpeza urbana) CBO 5142</v>
      </c>
      <c r="B27" s="46"/>
      <c r="C27" s="46"/>
      <c r="D27" s="47"/>
      <c r="E27" s="220"/>
      <c r="F27" s="7"/>
      <c r="G27" s="3"/>
    </row>
    <row r="28" spans="1:7" s="2" customFormat="1" ht="15" hidden="1" customHeight="1" x14ac:dyDescent="0.2">
      <c r="A28" s="173" t="s">
        <v>220</v>
      </c>
      <c r="B28" s="171"/>
      <c r="C28" s="171"/>
      <c r="D28" s="172"/>
      <c r="E28" s="221"/>
      <c r="F28" s="7"/>
      <c r="G28" s="3"/>
    </row>
    <row r="29" spans="1:7" s="2" customFormat="1" ht="15" hidden="1" customHeight="1" x14ac:dyDescent="0.2">
      <c r="A29" s="173" t="s">
        <v>0</v>
      </c>
      <c r="B29" s="171"/>
      <c r="C29" s="171"/>
      <c r="D29" s="172"/>
      <c r="E29" s="222"/>
      <c r="F29" s="7"/>
      <c r="G29" s="3"/>
    </row>
    <row r="30" spans="1:7" s="2" customFormat="1" ht="15" hidden="1" customHeight="1" x14ac:dyDescent="0.2">
      <c r="A30" s="173" t="s">
        <v>154</v>
      </c>
      <c r="B30" s="171"/>
      <c r="C30" s="171"/>
      <c r="D30" s="172"/>
      <c r="E30" s="222"/>
      <c r="F30" s="7"/>
    </row>
    <row r="31" spans="1:7" s="2" customFormat="1" ht="15" hidden="1" customHeight="1" x14ac:dyDescent="0.2">
      <c r="A31" s="61" t="str">
        <f>+A49</f>
        <v>1.2. Jardineiro CBO 6220</v>
      </c>
      <c r="B31" s="42"/>
      <c r="C31" s="42"/>
      <c r="D31" s="48"/>
      <c r="E31" s="223"/>
      <c r="F31" s="7"/>
    </row>
    <row r="32" spans="1:7" s="2" customFormat="1" ht="15" hidden="1" customHeight="1" x14ac:dyDescent="0.2">
      <c r="A32" s="173" t="s">
        <v>155</v>
      </c>
      <c r="B32" s="42"/>
      <c r="C32" s="42"/>
      <c r="D32" s="48"/>
      <c r="E32" s="224"/>
      <c r="F32" s="7"/>
    </row>
    <row r="33" spans="1:10" s="2" customFormat="1" ht="15" hidden="1" customHeight="1" x14ac:dyDescent="0.2">
      <c r="A33" s="202" t="s">
        <v>148</v>
      </c>
      <c r="B33" s="42"/>
      <c r="C33" s="42"/>
      <c r="D33" s="48"/>
      <c r="E33" s="223"/>
      <c r="F33" s="7"/>
      <c r="G33" s="3"/>
    </row>
    <row r="34" spans="1:10" s="2" customFormat="1" ht="15" hidden="1" customHeight="1" thickBot="1" x14ac:dyDescent="0.25">
      <c r="A34" s="44" t="s">
        <v>19</v>
      </c>
      <c r="B34" s="45"/>
      <c r="C34" s="45"/>
      <c r="D34" s="49"/>
      <c r="E34" s="50"/>
      <c r="F34" s="7"/>
      <c r="G34" s="3"/>
    </row>
    <row r="35" spans="1:10" s="2" customFormat="1" ht="13.5" thickBot="1" x14ac:dyDescent="0.25">
      <c r="A35" s="35"/>
      <c r="B35" s="35"/>
      <c r="C35" s="35"/>
      <c r="D35" s="32"/>
      <c r="E35" s="43"/>
      <c r="F35" s="6"/>
      <c r="G35" s="3"/>
    </row>
    <row r="36" spans="1:10" s="8" customFormat="1" ht="15.75" customHeight="1" thickBot="1" x14ac:dyDescent="0.25">
      <c r="A36" s="161" t="s">
        <v>108</v>
      </c>
      <c r="B36" s="228">
        <f>'5 Horários'!F23</f>
        <v>1</v>
      </c>
      <c r="C36" s="21"/>
      <c r="D36" s="20"/>
      <c r="E36" s="76"/>
      <c r="G36" s="27"/>
    </row>
    <row r="37" spans="1:10" s="2" customFormat="1" ht="15.75" customHeight="1" x14ac:dyDescent="0.2">
      <c r="A37" s="35"/>
      <c r="B37" s="35"/>
      <c r="C37" s="35"/>
      <c r="D37" s="32"/>
      <c r="E37" s="43"/>
      <c r="F37" s="6"/>
      <c r="G37" s="3"/>
    </row>
    <row r="38" spans="1:10" ht="13.15" customHeight="1" x14ac:dyDescent="0.2">
      <c r="A38" s="8" t="s">
        <v>17</v>
      </c>
    </row>
    <row r="39" spans="1:10" ht="13.9" customHeight="1" thickBot="1" x14ac:dyDescent="0.25">
      <c r="A39" s="389" t="s">
        <v>230</v>
      </c>
      <c r="B39" s="389"/>
      <c r="C39" s="389"/>
      <c r="D39" s="389"/>
      <c r="E39" s="389"/>
      <c r="F39" s="389"/>
    </row>
    <row r="40" spans="1:10" ht="13.9" customHeight="1" thickBot="1" x14ac:dyDescent="0.25">
      <c r="A40" s="36" t="s">
        <v>20</v>
      </c>
      <c r="B40" s="37" t="s">
        <v>21</v>
      </c>
      <c r="C40" s="37" t="s">
        <v>12</v>
      </c>
      <c r="D40" s="38" t="s">
        <v>120</v>
      </c>
      <c r="E40" s="38" t="s">
        <v>22</v>
      </c>
      <c r="F40" s="39" t="s">
        <v>23</v>
      </c>
    </row>
    <row r="41" spans="1:10" ht="13.15" customHeight="1" x14ac:dyDescent="0.2">
      <c r="A41" s="170" t="s">
        <v>117</v>
      </c>
      <c r="B41" s="10" t="s">
        <v>6</v>
      </c>
      <c r="C41" s="10">
        <v>1</v>
      </c>
      <c r="D41" s="310">
        <v>1339.25</v>
      </c>
      <c r="E41" s="205">
        <f>C41*D41</f>
        <v>1339.25</v>
      </c>
    </row>
    <row r="42" spans="1:10" x14ac:dyDescent="0.2">
      <c r="A42" s="169" t="s">
        <v>0</v>
      </c>
      <c r="B42" s="12" t="s">
        <v>1</v>
      </c>
      <c r="C42" s="201">
        <v>20</v>
      </c>
      <c r="D42" s="206">
        <f>SUM(E41:E41)</f>
        <v>1339.25</v>
      </c>
      <c r="E42" s="207">
        <f>C42*D42/100</f>
        <v>267.85000000000002</v>
      </c>
      <c r="H42" s="170" t="s">
        <v>117</v>
      </c>
    </row>
    <row r="43" spans="1:10" x14ac:dyDescent="0.2">
      <c r="A43" s="225" t="s">
        <v>2</v>
      </c>
      <c r="B43" s="57"/>
      <c r="C43" s="57"/>
      <c r="D43" s="208"/>
      <c r="E43" s="237">
        <f>SUM(E41:E42)</f>
        <v>1607.1</v>
      </c>
      <c r="H43" s="229" t="s">
        <v>2</v>
      </c>
    </row>
    <row r="44" spans="1:10" x14ac:dyDescent="0.2">
      <c r="A44" s="169" t="s">
        <v>3</v>
      </c>
      <c r="B44" s="12" t="s">
        <v>1</v>
      </c>
      <c r="C44" s="304">
        <f>'2. Encargos Sociais'!$C$34*100</f>
        <v>70</v>
      </c>
      <c r="D44" s="207">
        <f>E41+E42</f>
        <v>1607.1</v>
      </c>
      <c r="E44" s="219">
        <f>D44*C44/100</f>
        <v>1124.97</v>
      </c>
      <c r="H44" s="169" t="s">
        <v>3</v>
      </c>
      <c r="I44" s="238"/>
    </row>
    <row r="45" spans="1:10" x14ac:dyDescent="0.2">
      <c r="A45" s="225" t="s">
        <v>176</v>
      </c>
      <c r="B45" s="57"/>
      <c r="C45" s="57"/>
      <c r="D45" s="208"/>
      <c r="E45" s="218">
        <f>E41+E42+E44</f>
        <v>2732.0699999999997</v>
      </c>
      <c r="H45" s="229" t="s">
        <v>149</v>
      </c>
    </row>
    <row r="46" spans="1:10" ht="13.5" thickBot="1" x14ac:dyDescent="0.25">
      <c r="A46" s="11" t="s">
        <v>4</v>
      </c>
      <c r="B46" s="12" t="s">
        <v>5</v>
      </c>
      <c r="C46" s="201">
        <v>50</v>
      </c>
      <c r="D46" s="207">
        <f>E45</f>
        <v>2732.0699999999997</v>
      </c>
      <c r="E46" s="207">
        <f>C46*D46</f>
        <v>136603.5</v>
      </c>
      <c r="G46" s="3"/>
      <c r="H46" s="169" t="s">
        <v>4</v>
      </c>
    </row>
    <row r="47" spans="1:10" ht="13.9" customHeight="1" thickBot="1" x14ac:dyDescent="0.25">
      <c r="A47" s="9" t="s">
        <v>229</v>
      </c>
      <c r="D47" s="60" t="s">
        <v>132</v>
      </c>
      <c r="E47" s="186">
        <f>$B$36</f>
        <v>1</v>
      </c>
      <c r="F47" s="209">
        <f>(((E41+E44)*E47)+E42)*C46</f>
        <v>136603.5</v>
      </c>
      <c r="G47" s="3"/>
      <c r="J47" s="4"/>
    </row>
    <row r="48" spans="1:10" ht="13.9" customHeight="1" x14ac:dyDescent="0.2">
      <c r="A48" s="386"/>
      <c r="B48" s="387"/>
      <c r="C48" s="387"/>
      <c r="D48" s="387"/>
      <c r="E48" s="187"/>
      <c r="F48" s="190"/>
      <c r="G48" s="3"/>
      <c r="I48" s="238"/>
      <c r="J48" s="4"/>
    </row>
    <row r="49" spans="1:7" ht="13.5" thickBot="1" x14ac:dyDescent="0.25">
      <c r="A49" s="8" t="s">
        <v>231</v>
      </c>
    </row>
    <row r="50" spans="1:7" s="9" customFormat="1" ht="13.15" customHeight="1" thickBot="1" x14ac:dyDescent="0.25">
      <c r="A50" s="36" t="s">
        <v>20</v>
      </c>
      <c r="B50" s="37" t="s">
        <v>21</v>
      </c>
      <c r="C50" s="37" t="s">
        <v>12</v>
      </c>
      <c r="D50" s="38" t="s">
        <v>120</v>
      </c>
      <c r="E50" s="38" t="s">
        <v>22</v>
      </c>
      <c r="F50" s="39" t="s">
        <v>23</v>
      </c>
      <c r="G50" s="7"/>
    </row>
    <row r="51" spans="1:7" x14ac:dyDescent="0.2">
      <c r="A51" s="170" t="s">
        <v>117</v>
      </c>
      <c r="B51" s="10" t="s">
        <v>6</v>
      </c>
      <c r="C51" s="10">
        <v>1</v>
      </c>
      <c r="D51" s="272">
        <v>1314.09</v>
      </c>
      <c r="E51" s="210">
        <f>C51*D51</f>
        <v>1314.09</v>
      </c>
    </row>
    <row r="52" spans="1:7" x14ac:dyDescent="0.2">
      <c r="A52" s="169" t="s">
        <v>0</v>
      </c>
      <c r="B52" s="12" t="s">
        <v>1</v>
      </c>
      <c r="C52" s="201">
        <v>20</v>
      </c>
      <c r="D52" s="206">
        <f>SUM(E51:E51)</f>
        <v>1314.09</v>
      </c>
      <c r="E52" s="207">
        <f>C52*D52/100</f>
        <v>262.81799999999998</v>
      </c>
    </row>
    <row r="53" spans="1:7" s="8" customFormat="1" x14ac:dyDescent="0.2">
      <c r="A53" s="170" t="s">
        <v>2</v>
      </c>
      <c r="B53" s="57"/>
      <c r="C53" s="57"/>
      <c r="D53" s="213"/>
      <c r="E53" s="292">
        <f>E51+E52</f>
        <v>1576.9079999999999</v>
      </c>
      <c r="F53" s="27"/>
      <c r="G53" s="27"/>
    </row>
    <row r="54" spans="1:7" x14ac:dyDescent="0.2">
      <c r="A54" s="169" t="s">
        <v>3</v>
      </c>
      <c r="B54" s="12" t="s">
        <v>1</v>
      </c>
      <c r="C54" s="304">
        <f>'2. Encargos Sociais'!$C$34*100</f>
        <v>70</v>
      </c>
      <c r="D54" s="211">
        <f>E53</f>
        <v>1576.9079999999999</v>
      </c>
      <c r="E54" s="217">
        <f>D54*C54/100</f>
        <v>1103.8355999999999</v>
      </c>
      <c r="G54" s="174"/>
    </row>
    <row r="55" spans="1:7" s="8" customFormat="1" x14ac:dyDescent="0.2">
      <c r="A55" s="169" t="s">
        <v>197</v>
      </c>
      <c r="B55" s="162"/>
      <c r="C55" s="162"/>
      <c r="D55" s="214"/>
      <c r="E55" s="217">
        <f>E53+E54</f>
        <v>2680.7435999999998</v>
      </c>
      <c r="F55" s="27"/>
      <c r="G55" s="27"/>
    </row>
    <row r="56" spans="1:7" ht="13.5" thickBot="1" x14ac:dyDescent="0.25">
      <c r="A56" s="11" t="s">
        <v>4</v>
      </c>
      <c r="B56" s="12" t="s">
        <v>5</v>
      </c>
      <c r="C56" s="201">
        <v>10</v>
      </c>
      <c r="D56" s="211">
        <f>E55</f>
        <v>2680.7435999999998</v>
      </c>
      <c r="E56" s="211">
        <f>C56*D56</f>
        <v>26807.435999999998</v>
      </c>
    </row>
    <row r="57" spans="1:7" ht="13.5" thickBot="1" x14ac:dyDescent="0.25">
      <c r="A57" s="388" t="s">
        <v>229</v>
      </c>
      <c r="B57" s="388"/>
      <c r="C57" s="388"/>
      <c r="D57" s="60" t="s">
        <v>132</v>
      </c>
      <c r="E57" s="186">
        <f>B36</f>
        <v>1</v>
      </c>
      <c r="F57" s="209">
        <f>E56*E57</f>
        <v>26807.435999999998</v>
      </c>
      <c r="G57" s="3"/>
    </row>
    <row r="58" spans="1:7" x14ac:dyDescent="0.2">
      <c r="A58" s="4"/>
      <c r="B58" s="4"/>
      <c r="C58" s="4"/>
      <c r="D58" s="4"/>
      <c r="E58" s="187"/>
      <c r="F58" s="190"/>
      <c r="G58" s="3"/>
    </row>
    <row r="59" spans="1:7" ht="13.5" thickBot="1" x14ac:dyDescent="0.25">
      <c r="A59" s="8" t="s">
        <v>232</v>
      </c>
      <c r="G59" s="3"/>
    </row>
    <row r="60" spans="1:7" ht="13.5" thickBot="1" x14ac:dyDescent="0.25">
      <c r="A60" s="36" t="s">
        <v>20</v>
      </c>
      <c r="B60" s="37" t="s">
        <v>21</v>
      </c>
      <c r="C60" s="37" t="s">
        <v>12</v>
      </c>
      <c r="D60" s="38" t="s">
        <v>120</v>
      </c>
      <c r="E60" s="38" t="s">
        <v>22</v>
      </c>
      <c r="F60" s="39" t="s">
        <v>23</v>
      </c>
      <c r="G60" s="3"/>
    </row>
    <row r="61" spans="1:7" x14ac:dyDescent="0.2">
      <c r="A61" s="170" t="s">
        <v>117</v>
      </c>
      <c r="B61" s="10" t="s">
        <v>6</v>
      </c>
      <c r="C61" s="10">
        <v>1</v>
      </c>
      <c r="D61" s="272">
        <v>2291.59</v>
      </c>
      <c r="E61" s="210">
        <f>C61*D61</f>
        <v>2291.59</v>
      </c>
      <c r="G61" s="3"/>
    </row>
    <row r="62" spans="1:7" hidden="1" x14ac:dyDescent="0.2">
      <c r="A62" s="169" t="s">
        <v>0</v>
      </c>
      <c r="B62" s="12" t="s">
        <v>1</v>
      </c>
      <c r="C62" s="201">
        <v>0</v>
      </c>
      <c r="D62" s="206">
        <v>1212</v>
      </c>
      <c r="E62" s="207">
        <f>C62*D62/100</f>
        <v>0</v>
      </c>
      <c r="G62" s="3"/>
    </row>
    <row r="63" spans="1:7" x14ac:dyDescent="0.2">
      <c r="A63" s="170" t="s">
        <v>2</v>
      </c>
      <c r="B63" s="57"/>
      <c r="C63" s="57"/>
      <c r="D63" s="213"/>
      <c r="E63" s="292">
        <f>E61+E62</f>
        <v>2291.59</v>
      </c>
      <c r="F63" s="27"/>
      <c r="G63" s="3"/>
    </row>
    <row r="64" spans="1:7" x14ac:dyDescent="0.2">
      <c r="A64" s="169" t="s">
        <v>3</v>
      </c>
      <c r="B64" s="12" t="s">
        <v>1</v>
      </c>
      <c r="C64" s="304">
        <f>'2. Encargos Sociais'!$C$34*100</f>
        <v>70</v>
      </c>
      <c r="D64" s="211">
        <f>E63</f>
        <v>2291.59</v>
      </c>
      <c r="E64" s="217">
        <f>D64*C64/100</f>
        <v>1604.1130000000003</v>
      </c>
      <c r="G64" s="3"/>
    </row>
    <row r="65" spans="1:9" x14ac:dyDescent="0.2">
      <c r="A65" s="169" t="s">
        <v>197</v>
      </c>
      <c r="B65" s="162"/>
      <c r="C65" s="162"/>
      <c r="D65" s="214"/>
      <c r="E65" s="217">
        <f>E63+E64</f>
        <v>3895.7030000000004</v>
      </c>
      <c r="F65" s="27"/>
      <c r="G65" s="3"/>
    </row>
    <row r="66" spans="1:9" ht="13.5" thickBot="1" x14ac:dyDescent="0.25">
      <c r="A66" s="11" t="s">
        <v>4</v>
      </c>
      <c r="B66" s="12" t="s">
        <v>5</v>
      </c>
      <c r="C66" s="201">
        <v>1</v>
      </c>
      <c r="D66" s="211">
        <f>E65</f>
        <v>3895.7030000000004</v>
      </c>
      <c r="E66" s="211">
        <f>C66*D66</f>
        <v>3895.7030000000004</v>
      </c>
      <c r="G66" s="3"/>
    </row>
    <row r="67" spans="1:9" ht="13.5" thickBot="1" x14ac:dyDescent="0.25">
      <c r="A67" s="388" t="s">
        <v>319</v>
      </c>
      <c r="B67" s="388"/>
      <c r="C67" s="388"/>
      <c r="D67" s="60" t="s">
        <v>132</v>
      </c>
      <c r="E67" s="186">
        <f>B36</f>
        <v>1</v>
      </c>
      <c r="F67" s="209">
        <f>E66*E67</f>
        <v>3895.7030000000004</v>
      </c>
      <c r="G67" s="3"/>
    </row>
    <row r="68" spans="1:9" x14ac:dyDescent="0.2">
      <c r="A68" s="4"/>
      <c r="B68" s="4"/>
      <c r="C68" s="4"/>
      <c r="D68" s="4"/>
      <c r="E68" s="187"/>
      <c r="F68" s="190"/>
      <c r="G68" s="3"/>
    </row>
    <row r="69" spans="1:9" ht="13.5" thickBot="1" x14ac:dyDescent="0.25">
      <c r="A69" s="8" t="s">
        <v>318</v>
      </c>
      <c r="G69" s="3"/>
    </row>
    <row r="70" spans="1:9" ht="13.5" thickBot="1" x14ac:dyDescent="0.25">
      <c r="A70" s="36" t="s">
        <v>20</v>
      </c>
      <c r="B70" s="37" t="s">
        <v>21</v>
      </c>
      <c r="C70" s="37" t="s">
        <v>12</v>
      </c>
      <c r="D70" s="38" t="s">
        <v>120</v>
      </c>
      <c r="E70" s="38" t="s">
        <v>22</v>
      </c>
      <c r="F70" s="39" t="s">
        <v>23</v>
      </c>
      <c r="G70" s="3"/>
    </row>
    <row r="71" spans="1:9" x14ac:dyDescent="0.2">
      <c r="A71" s="170" t="s">
        <v>117</v>
      </c>
      <c r="B71" s="10" t="s">
        <v>6</v>
      </c>
      <c r="C71" s="10">
        <v>1</v>
      </c>
      <c r="D71" s="272">
        <v>3216.93</v>
      </c>
      <c r="E71" s="210">
        <f>C71*D71</f>
        <v>3216.93</v>
      </c>
      <c r="G71" s="3"/>
    </row>
    <row r="72" spans="1:9" hidden="1" x14ac:dyDescent="0.2">
      <c r="A72" s="169" t="s">
        <v>0</v>
      </c>
      <c r="B72" s="12" t="s">
        <v>1</v>
      </c>
      <c r="C72" s="201">
        <v>0</v>
      </c>
      <c r="D72" s="206">
        <v>1212</v>
      </c>
      <c r="E72" s="207">
        <f>C72*D72/100</f>
        <v>0</v>
      </c>
      <c r="G72" s="3"/>
    </row>
    <row r="73" spans="1:9" x14ac:dyDescent="0.2">
      <c r="A73" s="170" t="s">
        <v>2</v>
      </c>
      <c r="B73" s="57"/>
      <c r="C73" s="57"/>
      <c r="D73" s="213"/>
      <c r="E73" s="292">
        <f>E71+E72</f>
        <v>3216.93</v>
      </c>
      <c r="F73" s="27"/>
      <c r="G73" s="3"/>
    </row>
    <row r="74" spans="1:9" x14ac:dyDescent="0.2">
      <c r="A74" s="169" t="s">
        <v>3</v>
      </c>
      <c r="B74" s="12" t="s">
        <v>1</v>
      </c>
      <c r="C74" s="304">
        <f>'2. Encargos Sociais'!$C$34*100</f>
        <v>70</v>
      </c>
      <c r="D74" s="211">
        <f>E73</f>
        <v>3216.93</v>
      </c>
      <c r="E74" s="217">
        <f>D74*C74/100</f>
        <v>2251.8509999999997</v>
      </c>
      <c r="G74" s="3"/>
    </row>
    <row r="75" spans="1:9" x14ac:dyDescent="0.2">
      <c r="A75" s="169" t="s">
        <v>197</v>
      </c>
      <c r="B75" s="162"/>
      <c r="C75" s="162"/>
      <c r="D75" s="214"/>
      <c r="E75" s="217">
        <f>E73+E74</f>
        <v>5468.780999999999</v>
      </c>
      <c r="F75" s="27"/>
      <c r="G75" s="3"/>
    </row>
    <row r="76" spans="1:9" ht="13.5" thickBot="1" x14ac:dyDescent="0.25">
      <c r="A76" s="11" t="s">
        <v>4</v>
      </c>
      <c r="B76" s="12" t="s">
        <v>5</v>
      </c>
      <c r="C76" s="201">
        <v>1</v>
      </c>
      <c r="D76" s="211">
        <f>E75</f>
        <v>5468.780999999999</v>
      </c>
      <c r="E76" s="211">
        <f>C76*D76</f>
        <v>5468.780999999999</v>
      </c>
      <c r="G76" s="3"/>
    </row>
    <row r="77" spans="1:9" ht="13.5" thickBot="1" x14ac:dyDescent="0.25">
      <c r="A77" s="388" t="s">
        <v>317</v>
      </c>
      <c r="B77" s="388"/>
      <c r="C77" s="388"/>
      <c r="D77" s="60" t="s">
        <v>132</v>
      </c>
      <c r="E77" s="186">
        <f>B36</f>
        <v>1</v>
      </c>
      <c r="F77" s="209">
        <f>E76*E77</f>
        <v>5468.780999999999</v>
      </c>
      <c r="G77" s="3"/>
    </row>
    <row r="78" spans="1:9" x14ac:dyDescent="0.2">
      <c r="A78" s="4"/>
      <c r="B78" s="4"/>
      <c r="C78" s="4"/>
      <c r="D78" s="4"/>
      <c r="E78" s="187"/>
      <c r="F78" s="190"/>
      <c r="G78" s="3"/>
    </row>
    <row r="79" spans="1:9" ht="11.25" customHeight="1" thickBot="1" x14ac:dyDescent="0.25">
      <c r="A79" s="8" t="s">
        <v>233</v>
      </c>
      <c r="B79" s="280"/>
      <c r="C79" s="4"/>
      <c r="D79" s="4"/>
      <c r="E79" s="281"/>
      <c r="F79" s="174"/>
      <c r="G79" s="174"/>
      <c r="I79" s="234"/>
    </row>
    <row r="80" spans="1:9" ht="14.45" customHeight="1" thickBot="1" x14ac:dyDescent="0.25">
      <c r="A80" s="36" t="s">
        <v>20</v>
      </c>
      <c r="B80" s="37" t="s">
        <v>21</v>
      </c>
      <c r="C80" s="37" t="s">
        <v>12</v>
      </c>
      <c r="D80" s="38" t="s">
        <v>120</v>
      </c>
      <c r="E80" s="38" t="s">
        <v>22</v>
      </c>
      <c r="F80" s="39" t="s">
        <v>23</v>
      </c>
      <c r="G80" s="174"/>
      <c r="I80" s="234"/>
    </row>
    <row r="81" spans="1:11" ht="15" customHeight="1" x14ac:dyDescent="0.2">
      <c r="A81" s="169" t="s">
        <v>185</v>
      </c>
      <c r="B81" s="267" t="s">
        <v>186</v>
      </c>
      <c r="C81" s="282">
        <v>1</v>
      </c>
      <c r="D81" s="283">
        <v>2.39</v>
      </c>
      <c r="E81" s="273"/>
      <c r="F81" s="174"/>
      <c r="G81" s="174"/>
      <c r="I81" s="234"/>
    </row>
    <row r="82" spans="1:11" ht="13.9" customHeight="1" x14ac:dyDescent="0.2">
      <c r="A82" s="169" t="s">
        <v>187</v>
      </c>
      <c r="B82" s="267" t="s">
        <v>188</v>
      </c>
      <c r="C82" s="284">
        <v>25</v>
      </c>
      <c r="D82" s="273"/>
      <c r="E82" s="273"/>
      <c r="F82" s="174"/>
      <c r="G82" s="174"/>
      <c r="I82" s="234"/>
    </row>
    <row r="83" spans="1:11" ht="14.45" customHeight="1" x14ac:dyDescent="0.2">
      <c r="A83" s="169" t="s">
        <v>234</v>
      </c>
      <c r="B83" s="267" t="s">
        <v>189</v>
      </c>
      <c r="C83" s="285">
        <f>$C$82*2*(C46)</f>
        <v>2500</v>
      </c>
      <c r="D83" s="286">
        <f>IFERROR((($C$82*2*$D$81)-(E41*0.06*C82/C82))/($C$82*2),"-")</f>
        <v>0.78289999999999993</v>
      </c>
      <c r="E83" s="273">
        <f>IFERROR(C83*D83,"-")</f>
        <v>1957.2499999999998</v>
      </c>
      <c r="F83" s="174"/>
      <c r="G83" s="174"/>
      <c r="I83" s="234"/>
    </row>
    <row r="84" spans="1:11" ht="14.45" customHeight="1" thickBot="1" x14ac:dyDescent="0.25">
      <c r="A84" s="170" t="s">
        <v>235</v>
      </c>
      <c r="B84" s="269" t="s">
        <v>189</v>
      </c>
      <c r="C84" s="285">
        <f>$C$82*2*(C56)</f>
        <v>500</v>
      </c>
      <c r="D84" s="286">
        <f>IFERROR((($C$82*2*$D$81)-(E51*0.06*C82/C82))/($C$82*2),"-")</f>
        <v>0.81309200000000004</v>
      </c>
      <c r="E84" s="273">
        <f>IFERROR(C84*D84,"-")</f>
        <v>406.54599999999999</v>
      </c>
      <c r="F84" s="174"/>
      <c r="G84" s="174"/>
      <c r="I84" s="234"/>
    </row>
    <row r="85" spans="1:11" ht="14.45" hidden="1" customHeight="1" thickBot="1" x14ac:dyDescent="0.25">
      <c r="A85" s="170" t="s">
        <v>190</v>
      </c>
      <c r="B85" s="269" t="s">
        <v>189</v>
      </c>
      <c r="C85" s="285">
        <v>0</v>
      </c>
      <c r="D85" s="286">
        <f>IFERROR((($C$82*2*$D$81)-(E61*0.06*C82/C82))/($C$82*2),"-")</f>
        <v>-0.35990800000000034</v>
      </c>
      <c r="E85" s="273">
        <f>IFERROR(C85*D85,"-")</f>
        <v>0</v>
      </c>
      <c r="F85" s="174"/>
      <c r="G85" s="174"/>
      <c r="I85" s="234"/>
    </row>
    <row r="86" spans="1:11" ht="14.45" customHeight="1" thickBot="1" x14ac:dyDescent="0.25">
      <c r="A86" s="4"/>
      <c r="B86" s="4"/>
      <c r="C86" s="4"/>
      <c r="D86" s="174"/>
      <c r="E86" s="174"/>
      <c r="F86" s="278">
        <f>SUM(E83:E85)</f>
        <v>2363.7959999999998</v>
      </c>
      <c r="G86" s="174"/>
      <c r="I86" s="234"/>
    </row>
    <row r="87" spans="1:11" ht="11.25" customHeight="1" x14ac:dyDescent="0.2">
      <c r="G87" s="174"/>
      <c r="I87" s="234"/>
    </row>
    <row r="88" spans="1:11" ht="13.5" thickBot="1" x14ac:dyDescent="0.25">
      <c r="A88" s="8" t="s">
        <v>236</v>
      </c>
      <c r="F88" s="13"/>
      <c r="I88" s="236"/>
    </row>
    <row r="89" spans="1:11" ht="13.5" thickBot="1" x14ac:dyDescent="0.25">
      <c r="A89" s="36" t="s">
        <v>20</v>
      </c>
      <c r="B89" s="37" t="s">
        <v>21</v>
      </c>
      <c r="C89" s="37" t="s">
        <v>12</v>
      </c>
      <c r="D89" s="38" t="s">
        <v>120</v>
      </c>
      <c r="E89" s="38" t="s">
        <v>22</v>
      </c>
      <c r="F89" s="39" t="s">
        <v>23</v>
      </c>
      <c r="G89" s="174"/>
      <c r="K89" s="235"/>
    </row>
    <row r="90" spans="1:11" x14ac:dyDescent="0.2">
      <c r="A90" s="169" t="s">
        <v>234</v>
      </c>
      <c r="B90" s="12" t="s">
        <v>7</v>
      </c>
      <c r="C90" s="351">
        <f>21*C46</f>
        <v>1050</v>
      </c>
      <c r="D90" s="215">
        <f>20.18*0.81</f>
        <v>16.345800000000001</v>
      </c>
      <c r="E90" s="246">
        <f>(D90*C90)</f>
        <v>17163.09</v>
      </c>
      <c r="F90" s="13"/>
      <c r="I90" s="236"/>
    </row>
    <row r="91" spans="1:11" x14ac:dyDescent="0.2">
      <c r="A91" s="170" t="s">
        <v>235</v>
      </c>
      <c r="B91" s="12" t="s">
        <v>7</v>
      </c>
      <c r="C91" s="351">
        <f>C56*21</f>
        <v>210</v>
      </c>
      <c r="D91" s="215">
        <f t="shared" ref="D91" si="1">20.18*0.81</f>
        <v>16.345800000000001</v>
      </c>
      <c r="E91" s="246">
        <f t="shared" ref="E91:E92" si="2">(D91*C91)</f>
        <v>3432.6179999999999</v>
      </c>
      <c r="F91" s="13"/>
      <c r="I91" s="236"/>
    </row>
    <row r="92" spans="1:11" x14ac:dyDescent="0.2">
      <c r="A92" s="170" t="s">
        <v>190</v>
      </c>
      <c r="B92" s="12" t="s">
        <v>7</v>
      </c>
      <c r="C92" s="351">
        <f>C66*21</f>
        <v>21</v>
      </c>
      <c r="D92" s="215">
        <f>19.7*0.8</f>
        <v>15.76</v>
      </c>
      <c r="E92" s="246">
        <f t="shared" si="2"/>
        <v>330.96</v>
      </c>
      <c r="F92" s="13"/>
      <c r="I92" s="236"/>
    </row>
    <row r="93" spans="1:11" ht="13.5" thickBot="1" x14ac:dyDescent="0.25">
      <c r="A93" s="169" t="s">
        <v>199</v>
      </c>
      <c r="B93" s="12" t="s">
        <v>7</v>
      </c>
      <c r="C93" s="351">
        <f>C76*21</f>
        <v>21</v>
      </c>
      <c r="D93" s="215">
        <f>20.18*0.81</f>
        <v>16.345800000000001</v>
      </c>
      <c r="E93" s="246">
        <f>(D93*C93)</f>
        <v>343.26179999999999</v>
      </c>
      <c r="F93" s="13"/>
      <c r="I93" s="236"/>
    </row>
    <row r="94" spans="1:11" ht="13.5" thickBot="1" x14ac:dyDescent="0.25">
      <c r="A94" s="241"/>
      <c r="B94" s="241"/>
      <c r="D94" s="60" t="s">
        <v>132</v>
      </c>
      <c r="E94" s="31">
        <v>1</v>
      </c>
      <c r="F94" s="184">
        <f>SUM(E90:E93)*E94</f>
        <v>21269.929799999998</v>
      </c>
      <c r="G94" s="6"/>
    </row>
    <row r="95" spans="1:11" x14ac:dyDescent="0.2">
      <c r="A95" s="239"/>
      <c r="B95" s="239"/>
      <c r="D95" s="60"/>
      <c r="E95" s="35"/>
      <c r="F95" s="240"/>
      <c r="G95" s="6"/>
    </row>
    <row r="96" spans="1:11" ht="13.5" thickBot="1" x14ac:dyDescent="0.25">
      <c r="A96" s="8" t="s">
        <v>339</v>
      </c>
      <c r="F96" s="13"/>
      <c r="G96" s="6"/>
    </row>
    <row r="97" spans="1:7" ht="13.5" thickBot="1" x14ac:dyDescent="0.25">
      <c r="A97" s="36" t="s">
        <v>20</v>
      </c>
      <c r="B97" s="37" t="s">
        <v>21</v>
      </c>
      <c r="C97" s="37" t="s">
        <v>12</v>
      </c>
      <c r="D97" s="38" t="s">
        <v>120</v>
      </c>
      <c r="E97" s="38" t="s">
        <v>22</v>
      </c>
      <c r="F97" s="39" t="s">
        <v>23</v>
      </c>
      <c r="G97" s="6"/>
    </row>
    <row r="98" spans="1:7" x14ac:dyDescent="0.2">
      <c r="A98" s="169" t="s">
        <v>234</v>
      </c>
      <c r="B98" s="12" t="s">
        <v>7</v>
      </c>
      <c r="C98" s="351">
        <f>C46*4</f>
        <v>200</v>
      </c>
      <c r="D98" s="215">
        <f>10.09*0.81</f>
        <v>8.1729000000000003</v>
      </c>
      <c r="E98" s="246">
        <f>(D98*C98)</f>
        <v>1634.5800000000002</v>
      </c>
      <c r="F98" s="13"/>
      <c r="G98" s="6"/>
    </row>
    <row r="99" spans="1:7" x14ac:dyDescent="0.2">
      <c r="A99" s="170" t="s">
        <v>235</v>
      </c>
      <c r="B99" s="12" t="s">
        <v>7</v>
      </c>
      <c r="C99" s="351">
        <f>C56*4</f>
        <v>40</v>
      </c>
      <c r="D99" s="215">
        <f>10.09*0.81</f>
        <v>8.1729000000000003</v>
      </c>
      <c r="E99" s="246">
        <f t="shared" ref="E99:E100" si="3">(D99*C99)</f>
        <v>326.916</v>
      </c>
      <c r="F99" s="13"/>
      <c r="G99" s="6"/>
    </row>
    <row r="100" spans="1:7" x14ac:dyDescent="0.2">
      <c r="A100" s="170" t="s">
        <v>190</v>
      </c>
      <c r="B100" s="12" t="s">
        <v>7</v>
      </c>
      <c r="C100" s="351">
        <f>C66*4</f>
        <v>4</v>
      </c>
      <c r="D100" s="215">
        <f>9.85*0.8</f>
        <v>7.88</v>
      </c>
      <c r="E100" s="246">
        <f t="shared" si="3"/>
        <v>31.52</v>
      </c>
      <c r="F100" s="13"/>
      <c r="G100" s="6"/>
    </row>
    <row r="101" spans="1:7" ht="13.5" thickBot="1" x14ac:dyDescent="0.25">
      <c r="A101" s="169" t="s">
        <v>199</v>
      </c>
      <c r="B101" s="12" t="s">
        <v>7</v>
      </c>
      <c r="C101" s="351">
        <f>C76*4</f>
        <v>4</v>
      </c>
      <c r="D101" s="215">
        <f>10.09*0.81</f>
        <v>8.1729000000000003</v>
      </c>
      <c r="E101" s="246">
        <f>(D101*C101)</f>
        <v>32.691600000000001</v>
      </c>
      <c r="F101" s="13"/>
      <c r="G101" s="6"/>
    </row>
    <row r="102" spans="1:7" ht="13.5" thickBot="1" x14ac:dyDescent="0.25">
      <c r="A102" s="241"/>
      <c r="B102" s="241"/>
      <c r="D102" s="60" t="s">
        <v>132</v>
      </c>
      <c r="E102" s="31">
        <v>1</v>
      </c>
      <c r="F102" s="184">
        <f>SUM(E98:E101)*E102</f>
        <v>2025.7076000000002</v>
      </c>
      <c r="G102" s="6"/>
    </row>
    <row r="103" spans="1:7" x14ac:dyDescent="0.2">
      <c r="A103" s="239"/>
      <c r="B103" s="239"/>
      <c r="D103" s="60"/>
      <c r="E103" s="35"/>
      <c r="F103" s="240"/>
      <c r="G103" s="6"/>
    </row>
    <row r="104" spans="1:7" ht="13.5" thickBot="1" x14ac:dyDescent="0.25">
      <c r="A104" s="8" t="s">
        <v>340</v>
      </c>
      <c r="B104" s="4"/>
      <c r="C104" s="4"/>
      <c r="D104" s="174"/>
      <c r="E104" s="174"/>
      <c r="F104" s="13"/>
      <c r="G104" s="6"/>
    </row>
    <row r="105" spans="1:7" ht="13.5" thickBot="1" x14ac:dyDescent="0.25">
      <c r="A105" s="36" t="s">
        <v>20</v>
      </c>
      <c r="B105" s="37" t="s">
        <v>21</v>
      </c>
      <c r="C105" s="37" t="s">
        <v>12</v>
      </c>
      <c r="D105" s="38" t="s">
        <v>120</v>
      </c>
      <c r="E105" s="38" t="s">
        <v>22</v>
      </c>
      <c r="F105" s="39" t="s">
        <v>23</v>
      </c>
      <c r="G105" s="6"/>
    </row>
    <row r="106" spans="1:7" ht="13.5" thickBot="1" x14ac:dyDescent="0.25">
      <c r="A106" s="169" t="s">
        <v>190</v>
      </c>
      <c r="B106" s="267" t="s">
        <v>7</v>
      </c>
      <c r="C106" s="300">
        <v>1</v>
      </c>
      <c r="D106" s="301">
        <v>123.59</v>
      </c>
      <c r="E106" s="297">
        <f>C106*D106</f>
        <v>123.59</v>
      </c>
      <c r="F106" s="13"/>
      <c r="G106" s="6"/>
    </row>
    <row r="107" spans="1:7" ht="13.5" thickBot="1" x14ac:dyDescent="0.25">
      <c r="A107" s="4"/>
      <c r="B107" s="4"/>
      <c r="C107" s="4"/>
      <c r="D107" s="296" t="s">
        <v>192</v>
      </c>
      <c r="E107" s="302">
        <f>E57</f>
        <v>1</v>
      </c>
      <c r="F107" s="278">
        <f>SUM(E106:E106)*E107</f>
        <v>123.59</v>
      </c>
      <c r="G107" s="6"/>
    </row>
    <row r="108" spans="1:7" x14ac:dyDescent="0.2">
      <c r="A108" s="4"/>
      <c r="B108" s="4"/>
      <c r="C108" s="4"/>
      <c r="D108" s="296"/>
      <c r="E108" s="303"/>
      <c r="F108" s="240"/>
      <c r="G108" s="6"/>
    </row>
    <row r="109" spans="1:7" ht="13.5" thickBot="1" x14ac:dyDescent="0.25">
      <c r="A109" s="8" t="s">
        <v>341</v>
      </c>
      <c r="F109" s="13"/>
      <c r="G109" s="6"/>
    </row>
    <row r="110" spans="1:7" ht="13.5" thickBot="1" x14ac:dyDescent="0.25">
      <c r="A110" s="36" t="s">
        <v>20</v>
      </c>
      <c r="B110" s="37" t="s">
        <v>21</v>
      </c>
      <c r="C110" s="37" t="s">
        <v>12</v>
      </c>
      <c r="D110" s="38" t="s">
        <v>120</v>
      </c>
      <c r="E110" s="38" t="s">
        <v>22</v>
      </c>
      <c r="F110" s="39" t="s">
        <v>23</v>
      </c>
      <c r="G110" s="6"/>
    </row>
    <row r="111" spans="1:7" ht="13.5" thickBot="1" x14ac:dyDescent="0.25">
      <c r="A111" s="169" t="s">
        <v>203</v>
      </c>
      <c r="B111" s="12" t="s">
        <v>7</v>
      </c>
      <c r="C111" s="204">
        <f>C46+C56</f>
        <v>60</v>
      </c>
      <c r="D111" s="215">
        <v>17.32</v>
      </c>
      <c r="E111" s="246">
        <f>C111*D111</f>
        <v>1039.2</v>
      </c>
      <c r="F111" s="13"/>
      <c r="G111" s="6"/>
    </row>
    <row r="112" spans="1:7" ht="13.5" hidden="1" thickBot="1" x14ac:dyDescent="0.25">
      <c r="A112" s="169" t="s">
        <v>194</v>
      </c>
      <c r="B112" s="12" t="s">
        <v>7</v>
      </c>
      <c r="C112" s="204">
        <v>0</v>
      </c>
      <c r="D112" s="215">
        <v>0</v>
      </c>
      <c r="E112" s="246"/>
      <c r="F112" s="13"/>
      <c r="G112" s="6"/>
    </row>
    <row r="113" spans="1:8" ht="13.5" thickBot="1" x14ac:dyDescent="0.25">
      <c r="A113" s="241"/>
      <c r="B113" s="241"/>
      <c r="D113" s="60" t="s">
        <v>132</v>
      </c>
      <c r="E113" s="31">
        <v>1</v>
      </c>
      <c r="F113" s="184">
        <f>SUM(E111:E112)*E113</f>
        <v>1039.2</v>
      </c>
      <c r="G113" s="6"/>
    </row>
    <row r="114" spans="1:8" ht="13.5" thickBot="1" x14ac:dyDescent="0.25">
      <c r="A114" s="239"/>
      <c r="B114" s="239"/>
      <c r="D114" s="60"/>
      <c r="E114" s="35"/>
      <c r="F114" s="240"/>
      <c r="G114" s="6"/>
    </row>
    <row r="115" spans="1:8" ht="13.5" thickBot="1" x14ac:dyDescent="0.25">
      <c r="A115" s="175" t="s">
        <v>133</v>
      </c>
      <c r="B115" s="176"/>
      <c r="C115" s="176"/>
      <c r="D115" s="177"/>
      <c r="E115" s="178"/>
      <c r="F115" s="183">
        <f>F47+F57+F86+F94+F107+F113+F67+F77+F102</f>
        <v>199597.6434</v>
      </c>
      <c r="G115" s="6"/>
      <c r="H115" s="185"/>
    </row>
    <row r="116" spans="1:8" ht="15" customHeight="1" x14ac:dyDescent="0.2"/>
    <row r="117" spans="1:8" x14ac:dyDescent="0.2">
      <c r="A117" s="8" t="s">
        <v>16</v>
      </c>
      <c r="G117" s="6"/>
    </row>
    <row r="118" spans="1:8" ht="13.9" customHeight="1" thickBot="1" x14ac:dyDescent="0.25">
      <c r="A118" s="4" t="s">
        <v>150</v>
      </c>
      <c r="G118" s="6"/>
    </row>
    <row r="119" spans="1:8" ht="27.75" customHeight="1" thickBot="1" x14ac:dyDescent="0.25">
      <c r="A119" s="36" t="s">
        <v>20</v>
      </c>
      <c r="B119" s="37" t="s">
        <v>21</v>
      </c>
      <c r="C119" s="163" t="s">
        <v>130</v>
      </c>
      <c r="D119" s="38" t="s">
        <v>120</v>
      </c>
      <c r="E119" s="38" t="s">
        <v>22</v>
      </c>
      <c r="F119" s="39" t="s">
        <v>23</v>
      </c>
      <c r="G119" s="6"/>
    </row>
    <row r="120" spans="1:8" ht="13.15" customHeight="1" x14ac:dyDescent="0.2">
      <c r="A120" s="170" t="s">
        <v>237</v>
      </c>
      <c r="B120" s="269" t="s">
        <v>7</v>
      </c>
      <c r="C120" s="268">
        <v>12</v>
      </c>
      <c r="D120" s="216">
        <v>60</v>
      </c>
      <c r="E120" s="210">
        <f>IFERROR(D120/C120,0)</f>
        <v>5</v>
      </c>
      <c r="G120" s="6"/>
    </row>
    <row r="121" spans="1:8" ht="13.15" customHeight="1" x14ac:dyDescent="0.2">
      <c r="A121" s="11" t="s">
        <v>8</v>
      </c>
      <c r="B121" s="12" t="s">
        <v>7</v>
      </c>
      <c r="C121" s="268">
        <v>6</v>
      </c>
      <c r="D121" s="216">
        <v>55</v>
      </c>
      <c r="E121" s="210">
        <f t="shared" ref="E121:E123" si="4">IFERROR(D121/C121,0)</f>
        <v>9.1666666666666661</v>
      </c>
      <c r="G121" s="6"/>
    </row>
    <row r="122" spans="1:8" x14ac:dyDescent="0.2">
      <c r="A122" s="311" t="s">
        <v>204</v>
      </c>
      <c r="B122" s="312" t="s">
        <v>7</v>
      </c>
      <c r="C122" s="268">
        <v>5</v>
      </c>
      <c r="D122" s="313">
        <v>40</v>
      </c>
      <c r="E122" s="314">
        <f t="shared" si="4"/>
        <v>8</v>
      </c>
      <c r="G122" s="6"/>
    </row>
    <row r="123" spans="1:8" x14ac:dyDescent="0.2">
      <c r="A123" s="311" t="s">
        <v>205</v>
      </c>
      <c r="B123" s="312" t="s">
        <v>7</v>
      </c>
      <c r="C123" s="268">
        <v>5</v>
      </c>
      <c r="D123" s="313">
        <v>40</v>
      </c>
      <c r="E123" s="314">
        <f t="shared" si="4"/>
        <v>8</v>
      </c>
      <c r="G123" s="6"/>
    </row>
    <row r="124" spans="1:8" ht="13.9" customHeight="1" x14ac:dyDescent="0.2">
      <c r="A124" s="169" t="s">
        <v>206</v>
      </c>
      <c r="B124" s="12" t="s">
        <v>18</v>
      </c>
      <c r="C124" s="268">
        <v>6</v>
      </c>
      <c r="D124" s="216">
        <v>50</v>
      </c>
      <c r="E124" s="210">
        <f t="shared" ref="E124:E129" si="5">IFERROR(D124/C124,0)</f>
        <v>8.3333333333333339</v>
      </c>
      <c r="G124" s="6"/>
    </row>
    <row r="125" spans="1:8" ht="13.9" customHeight="1" x14ac:dyDescent="0.2">
      <c r="A125" s="169" t="s">
        <v>178</v>
      </c>
      <c r="B125" s="267" t="s">
        <v>7</v>
      </c>
      <c r="C125" s="268">
        <v>6</v>
      </c>
      <c r="D125" s="216">
        <v>25</v>
      </c>
      <c r="E125" s="210">
        <f t="shared" si="5"/>
        <v>4.166666666666667</v>
      </c>
      <c r="G125" s="6"/>
    </row>
    <row r="126" spans="1:8" ht="13.9" customHeight="1" x14ac:dyDescent="0.2">
      <c r="A126" s="270" t="s">
        <v>182</v>
      </c>
      <c r="B126" s="271" t="s">
        <v>7</v>
      </c>
      <c r="C126" s="268">
        <v>6</v>
      </c>
      <c r="D126" s="216">
        <v>20</v>
      </c>
      <c r="E126" s="210">
        <f t="shared" si="5"/>
        <v>3.3333333333333335</v>
      </c>
      <c r="G126" s="6"/>
    </row>
    <row r="127" spans="1:8" ht="13.9" customHeight="1" x14ac:dyDescent="0.2">
      <c r="A127" s="169" t="s">
        <v>183</v>
      </c>
      <c r="B127" s="267" t="s">
        <v>18</v>
      </c>
      <c r="C127" s="268">
        <v>2</v>
      </c>
      <c r="D127" s="216">
        <v>10</v>
      </c>
      <c r="E127" s="210">
        <f t="shared" si="5"/>
        <v>5</v>
      </c>
      <c r="G127" s="6"/>
    </row>
    <row r="128" spans="1:8" ht="13.9" customHeight="1" x14ac:dyDescent="0.2">
      <c r="A128" s="311" t="s">
        <v>207</v>
      </c>
      <c r="B128" s="312" t="s">
        <v>21</v>
      </c>
      <c r="C128" s="268">
        <v>5</v>
      </c>
      <c r="D128" s="313">
        <v>56</v>
      </c>
      <c r="E128" s="314">
        <f t="shared" si="5"/>
        <v>11.2</v>
      </c>
      <c r="G128" s="6"/>
    </row>
    <row r="129" spans="1:7" ht="13.9" customHeight="1" x14ac:dyDescent="0.2">
      <c r="A129" s="169" t="s">
        <v>238</v>
      </c>
      <c r="B129" s="267" t="s">
        <v>7</v>
      </c>
      <c r="C129" s="268">
        <v>2</v>
      </c>
      <c r="D129" s="216">
        <v>5</v>
      </c>
      <c r="E129" s="286">
        <f t="shared" si="5"/>
        <v>2.5</v>
      </c>
      <c r="G129" s="6"/>
    </row>
    <row r="130" spans="1:7" ht="13.9" customHeight="1" x14ac:dyDescent="0.2">
      <c r="A130" s="169" t="s">
        <v>179</v>
      </c>
      <c r="B130" s="267" t="s">
        <v>180</v>
      </c>
      <c r="C130" s="268">
        <v>3</v>
      </c>
      <c r="D130" s="216">
        <v>20</v>
      </c>
      <c r="E130" s="210">
        <f t="shared" ref="E130" si="6">IFERROR(D130/C130,0)</f>
        <v>6.666666666666667</v>
      </c>
      <c r="G130" s="6"/>
    </row>
    <row r="131" spans="1:7" ht="13.5" thickBot="1" x14ac:dyDescent="0.25">
      <c r="A131" s="384" t="s">
        <v>181</v>
      </c>
      <c r="B131" s="385"/>
      <c r="C131" s="58">
        <f>C46+C56</f>
        <v>60</v>
      </c>
      <c r="D131" s="212">
        <f>+SUM(E120:E130)</f>
        <v>71.366666666666674</v>
      </c>
      <c r="E131" s="211">
        <f t="shared" ref="E131" si="7">C131*D131</f>
        <v>4282</v>
      </c>
    </row>
    <row r="132" spans="1:7" ht="13.5" thickBot="1" x14ac:dyDescent="0.25">
      <c r="D132" s="60" t="s">
        <v>132</v>
      </c>
      <c r="E132" s="186">
        <f>$B$36</f>
        <v>1</v>
      </c>
      <c r="F132" s="209">
        <f>E131*E132</f>
        <v>4282</v>
      </c>
    </row>
    <row r="133" spans="1:7" ht="11.25" customHeight="1" thickBot="1" x14ac:dyDescent="0.25">
      <c r="G133" s="6"/>
    </row>
    <row r="134" spans="1:7" ht="13.5" thickBot="1" x14ac:dyDescent="0.25">
      <c r="A134" s="175" t="s">
        <v>134</v>
      </c>
      <c r="B134" s="179"/>
      <c r="C134" s="179"/>
      <c r="D134" s="180"/>
      <c r="E134" s="181"/>
      <c r="F134" s="182">
        <f>+F132</f>
        <v>4282</v>
      </c>
      <c r="G134" s="6"/>
    </row>
    <row r="135" spans="1:7" ht="11.25" customHeight="1" x14ac:dyDescent="0.2">
      <c r="G135" s="6"/>
    </row>
    <row r="136" spans="1:7" ht="13.9" customHeight="1" x14ac:dyDescent="0.2">
      <c r="A136" s="8" t="s">
        <v>314</v>
      </c>
      <c r="B136" s="4"/>
      <c r="C136" s="4"/>
      <c r="D136" s="315"/>
      <c r="E136" s="315"/>
      <c r="F136" s="315"/>
      <c r="G136" s="6"/>
    </row>
    <row r="137" spans="1:7" ht="13.9" customHeight="1" thickBot="1" x14ac:dyDescent="0.25">
      <c r="A137" s="316" t="s">
        <v>208</v>
      </c>
      <c r="B137" s="4"/>
      <c r="C137" s="4"/>
      <c r="D137" s="315"/>
      <c r="E137" s="315"/>
      <c r="F137" s="315"/>
      <c r="G137" s="6"/>
    </row>
    <row r="138" spans="1:7" ht="13.9" customHeight="1" thickBot="1" x14ac:dyDescent="0.25">
      <c r="A138" s="317" t="s">
        <v>20</v>
      </c>
      <c r="B138" s="318" t="s">
        <v>21</v>
      </c>
      <c r="C138" s="318" t="s">
        <v>12</v>
      </c>
      <c r="D138" s="319" t="s">
        <v>120</v>
      </c>
      <c r="E138" s="320" t="s">
        <v>22</v>
      </c>
      <c r="F138" s="321" t="s">
        <v>23</v>
      </c>
      <c r="G138" s="6"/>
    </row>
    <row r="139" spans="1:7" ht="13.9" customHeight="1" x14ac:dyDescent="0.2">
      <c r="A139" s="322" t="s">
        <v>209</v>
      </c>
      <c r="B139" s="269" t="s">
        <v>7</v>
      </c>
      <c r="C139" s="323">
        <v>10</v>
      </c>
      <c r="D139" s="324">
        <v>800</v>
      </c>
      <c r="E139" s="325">
        <f>C139*D139</f>
        <v>8000</v>
      </c>
      <c r="F139" s="315"/>
      <c r="G139" s="6"/>
    </row>
    <row r="140" spans="1:7" ht="13.9" hidden="1" customHeight="1" x14ac:dyDescent="0.2">
      <c r="A140" s="322"/>
      <c r="B140" s="269"/>
      <c r="C140" s="323"/>
      <c r="D140" s="324"/>
      <c r="E140" s="325">
        <f>C140*D140</f>
        <v>0</v>
      </c>
      <c r="F140" s="315"/>
      <c r="G140" s="6"/>
    </row>
    <row r="141" spans="1:7" ht="13.9" customHeight="1" x14ac:dyDescent="0.2">
      <c r="A141" s="169" t="s">
        <v>210</v>
      </c>
      <c r="B141" s="267" t="s">
        <v>211</v>
      </c>
      <c r="C141" s="326">
        <v>2</v>
      </c>
      <c r="D141" s="327"/>
      <c r="E141" s="328"/>
      <c r="F141" s="315"/>
      <c r="G141" s="6"/>
    </row>
    <row r="142" spans="1:7" ht="13.9" hidden="1" customHeight="1" x14ac:dyDescent="0.2">
      <c r="A142" s="169" t="s">
        <v>212</v>
      </c>
      <c r="B142" s="267"/>
      <c r="C142" s="326">
        <v>0</v>
      </c>
      <c r="D142" s="328"/>
      <c r="E142" s="328"/>
      <c r="F142" s="329"/>
      <c r="G142" s="6"/>
    </row>
    <row r="143" spans="1:7" ht="13.9" customHeight="1" x14ac:dyDescent="0.2">
      <c r="A143" s="169" t="s">
        <v>213</v>
      </c>
      <c r="B143" s="267" t="s">
        <v>1</v>
      </c>
      <c r="C143" s="330">
        <v>70</v>
      </c>
      <c r="D143" s="328">
        <f>E139+E140</f>
        <v>8000</v>
      </c>
      <c r="E143" s="328">
        <f>C143*D143/100</f>
        <v>5600</v>
      </c>
      <c r="F143" s="315"/>
      <c r="G143" s="6"/>
    </row>
    <row r="144" spans="1:7" ht="13.9" customHeight="1" x14ac:dyDescent="0.2">
      <c r="A144" s="229" t="s">
        <v>214</v>
      </c>
      <c r="B144" s="331" t="s">
        <v>6</v>
      </c>
      <c r="C144" s="332">
        <f>C141*12</f>
        <v>24</v>
      </c>
      <c r="D144" s="333">
        <f>IF(C142&lt;=C141,E143,0)</f>
        <v>5600</v>
      </c>
      <c r="E144" s="334">
        <f>IFERROR(D144/C144,0)</f>
        <v>233.33333333333334</v>
      </c>
      <c r="F144" s="315"/>
      <c r="G144" s="6"/>
    </row>
    <row r="145" spans="1:7" ht="13.9" customHeight="1" x14ac:dyDescent="0.2">
      <c r="A145" s="169"/>
      <c r="B145" s="267"/>
      <c r="C145" s="293"/>
      <c r="D145" s="328"/>
      <c r="E145" s="328"/>
      <c r="F145" s="315"/>
      <c r="G145" s="6"/>
    </row>
    <row r="146" spans="1:7" ht="13.9" customHeight="1" x14ac:dyDescent="0.2">
      <c r="A146" s="170" t="s">
        <v>239</v>
      </c>
      <c r="B146" s="269" t="s">
        <v>7</v>
      </c>
      <c r="C146" s="335">
        <v>2</v>
      </c>
      <c r="D146" s="324">
        <v>1300</v>
      </c>
      <c r="E146" s="325">
        <f>C146*D146</f>
        <v>2600</v>
      </c>
      <c r="F146" s="315"/>
      <c r="G146" s="6"/>
    </row>
    <row r="147" spans="1:7" ht="13.9" customHeight="1" x14ac:dyDescent="0.2">
      <c r="A147" s="169" t="s">
        <v>210</v>
      </c>
      <c r="B147" s="336" t="s">
        <v>215</v>
      </c>
      <c r="C147" s="326">
        <v>2</v>
      </c>
      <c r="D147" s="328"/>
      <c r="E147" s="328"/>
      <c r="F147" s="315"/>
      <c r="G147" s="6"/>
    </row>
    <row r="148" spans="1:7" ht="13.9" customHeight="1" x14ac:dyDescent="0.2">
      <c r="A148" s="169" t="s">
        <v>213</v>
      </c>
      <c r="B148" s="267" t="s">
        <v>1</v>
      </c>
      <c r="C148" s="330">
        <v>70</v>
      </c>
      <c r="D148" s="328">
        <f>E146</f>
        <v>2600</v>
      </c>
      <c r="E148" s="328">
        <f>C148*D148/100</f>
        <v>1820</v>
      </c>
      <c r="F148" s="315"/>
      <c r="G148" s="6"/>
    </row>
    <row r="149" spans="1:7" ht="13.9" customHeight="1" x14ac:dyDescent="0.2">
      <c r="A149" s="229" t="s">
        <v>214</v>
      </c>
      <c r="B149" s="331" t="s">
        <v>6</v>
      </c>
      <c r="C149" s="332">
        <f>C146*12</f>
        <v>24</v>
      </c>
      <c r="D149" s="333">
        <f>IF(C147&lt;=C146,E148,0)</f>
        <v>1820</v>
      </c>
      <c r="E149" s="334">
        <f>IFERROR(D149/C149,0)</f>
        <v>75.833333333333329</v>
      </c>
      <c r="F149" s="315"/>
      <c r="G149" s="6"/>
    </row>
    <row r="150" spans="1:7" ht="13.9" customHeight="1" x14ac:dyDescent="0.2">
      <c r="A150" s="169"/>
      <c r="B150" s="267"/>
      <c r="C150" s="293"/>
      <c r="D150" s="328"/>
      <c r="E150" s="328"/>
      <c r="F150" s="315"/>
      <c r="G150" s="6"/>
    </row>
    <row r="151" spans="1:7" ht="13.9" customHeight="1" x14ac:dyDescent="0.2">
      <c r="A151" s="170" t="s">
        <v>240</v>
      </c>
      <c r="B151" s="269" t="s">
        <v>7</v>
      </c>
      <c r="C151" s="335">
        <v>2</v>
      </c>
      <c r="D151" s="324">
        <v>700</v>
      </c>
      <c r="E151" s="328">
        <f>C151*D151</f>
        <v>1400</v>
      </c>
      <c r="F151" s="315"/>
      <c r="G151" s="6"/>
    </row>
    <row r="152" spans="1:7" ht="13.9" customHeight="1" x14ac:dyDescent="0.2">
      <c r="A152" s="169" t="s">
        <v>210</v>
      </c>
      <c r="B152" s="336" t="s">
        <v>215</v>
      </c>
      <c r="C152" s="326">
        <v>2</v>
      </c>
      <c r="D152" s="328"/>
      <c r="E152" s="328"/>
      <c r="F152" s="315"/>
      <c r="G152" s="6"/>
    </row>
    <row r="153" spans="1:7" ht="13.9" customHeight="1" x14ac:dyDescent="0.2">
      <c r="A153" s="169" t="s">
        <v>213</v>
      </c>
      <c r="B153" s="267" t="s">
        <v>1</v>
      </c>
      <c r="C153" s="330">
        <v>70</v>
      </c>
      <c r="D153" s="328">
        <f>E151</f>
        <v>1400</v>
      </c>
      <c r="E153" s="328">
        <f>C153*D153/100</f>
        <v>980</v>
      </c>
      <c r="F153" s="315"/>
      <c r="G153" s="6"/>
    </row>
    <row r="154" spans="1:7" ht="13.9" customHeight="1" x14ac:dyDescent="0.2">
      <c r="A154" s="343" t="s">
        <v>214</v>
      </c>
      <c r="B154" s="267" t="s">
        <v>6</v>
      </c>
      <c r="C154" s="293">
        <f>C151*12</f>
        <v>24</v>
      </c>
      <c r="D154" s="328">
        <f>IF(C152&lt;=C151,E153,0)</f>
        <v>980</v>
      </c>
      <c r="E154" s="337">
        <f>IFERROR(D154/C154,0)</f>
        <v>40.833333333333336</v>
      </c>
      <c r="F154" s="315"/>
      <c r="G154" s="6"/>
    </row>
    <row r="155" spans="1:7" ht="13.9" customHeight="1" x14ac:dyDescent="0.2">
      <c r="A155" s="169"/>
      <c r="B155" s="267"/>
      <c r="C155" s="293"/>
      <c r="D155" s="328"/>
      <c r="E155" s="328"/>
      <c r="F155" s="315"/>
      <c r="G155" s="6"/>
    </row>
    <row r="156" spans="1:7" ht="13.9" customHeight="1" x14ac:dyDescent="0.2">
      <c r="A156" s="170" t="s">
        <v>241</v>
      </c>
      <c r="B156" s="269" t="s">
        <v>7</v>
      </c>
      <c r="C156" s="335">
        <v>1</v>
      </c>
      <c r="D156" s="324">
        <v>3800</v>
      </c>
      <c r="E156" s="325">
        <f>C156*D156</f>
        <v>3800</v>
      </c>
      <c r="F156" s="315"/>
      <c r="G156" s="6"/>
    </row>
    <row r="157" spans="1:7" ht="13.9" customHeight="1" x14ac:dyDescent="0.2">
      <c r="A157" s="169" t="s">
        <v>210</v>
      </c>
      <c r="B157" s="336" t="s">
        <v>215</v>
      </c>
      <c r="C157" s="326">
        <v>2</v>
      </c>
      <c r="D157" s="328"/>
      <c r="E157" s="328"/>
      <c r="F157" s="315"/>
      <c r="G157" s="6"/>
    </row>
    <row r="158" spans="1:7" ht="13.9" customHeight="1" x14ac:dyDescent="0.2">
      <c r="A158" s="169" t="s">
        <v>213</v>
      </c>
      <c r="B158" s="267" t="s">
        <v>1</v>
      </c>
      <c r="C158" s="330">
        <v>70</v>
      </c>
      <c r="D158" s="328">
        <f>E156</f>
        <v>3800</v>
      </c>
      <c r="E158" s="328">
        <f>C158*D158/100</f>
        <v>2660</v>
      </c>
      <c r="F158" s="315"/>
      <c r="G158" s="6"/>
    </row>
    <row r="159" spans="1:7" ht="13.9" customHeight="1" x14ac:dyDescent="0.2">
      <c r="A159" s="343" t="s">
        <v>214</v>
      </c>
      <c r="B159" s="267" t="s">
        <v>6</v>
      </c>
      <c r="C159" s="293">
        <v>24</v>
      </c>
      <c r="D159" s="328">
        <f>E158</f>
        <v>2660</v>
      </c>
      <c r="E159" s="337">
        <f>IFERROR(D159/C159,0)</f>
        <v>110.83333333333333</v>
      </c>
      <c r="F159" s="315"/>
      <c r="G159" s="6"/>
    </row>
    <row r="160" spans="1:7" ht="13.9" customHeight="1" x14ac:dyDescent="0.2">
      <c r="A160" s="170"/>
      <c r="B160" s="269"/>
      <c r="C160" s="352"/>
      <c r="D160" s="325"/>
      <c r="E160" s="328"/>
      <c r="F160" s="315"/>
      <c r="G160" s="6"/>
    </row>
    <row r="161" spans="1:7" ht="13.9" customHeight="1" x14ac:dyDescent="0.2">
      <c r="A161" s="322" t="s">
        <v>316</v>
      </c>
      <c r="B161" s="269" t="s">
        <v>7</v>
      </c>
      <c r="C161" s="323">
        <v>1</v>
      </c>
      <c r="D161" s="324">
        <v>60000</v>
      </c>
      <c r="E161" s="328">
        <f>C161*D161</f>
        <v>60000</v>
      </c>
      <c r="F161" s="315"/>
      <c r="G161" s="6"/>
    </row>
    <row r="162" spans="1:7" ht="13.9" hidden="1" customHeight="1" x14ac:dyDescent="0.2">
      <c r="A162" s="322"/>
      <c r="B162" s="269"/>
      <c r="C162" s="323"/>
      <c r="D162" s="324"/>
      <c r="E162" s="328">
        <f>C162*D162</f>
        <v>0</v>
      </c>
      <c r="F162" s="315"/>
      <c r="G162" s="6"/>
    </row>
    <row r="163" spans="1:7" ht="13.9" customHeight="1" x14ac:dyDescent="0.2">
      <c r="A163" s="169" t="s">
        <v>210</v>
      </c>
      <c r="B163" s="267" t="s">
        <v>211</v>
      </c>
      <c r="C163" s="326">
        <v>15</v>
      </c>
      <c r="D163" s="327"/>
      <c r="E163" s="328"/>
      <c r="F163" s="315"/>
      <c r="G163" s="6"/>
    </row>
    <row r="164" spans="1:7" ht="13.9" customHeight="1" x14ac:dyDescent="0.2">
      <c r="A164" s="169" t="s">
        <v>242</v>
      </c>
      <c r="B164" s="267"/>
      <c r="C164" s="326">
        <v>0</v>
      </c>
      <c r="D164" s="328"/>
      <c r="E164" s="328"/>
      <c r="F164" s="315"/>
      <c r="G164" s="6"/>
    </row>
    <row r="165" spans="1:7" ht="13.9" customHeight="1" x14ac:dyDescent="0.2">
      <c r="A165" s="169" t="s">
        <v>213</v>
      </c>
      <c r="B165" s="267" t="s">
        <v>1</v>
      </c>
      <c r="C165" s="330">
        <v>70</v>
      </c>
      <c r="D165" s="328">
        <f>E161+E162</f>
        <v>60000</v>
      </c>
      <c r="E165" s="328">
        <f>C165*D165/100</f>
        <v>42000</v>
      </c>
      <c r="F165" s="315"/>
      <c r="G165" s="6"/>
    </row>
    <row r="166" spans="1:7" ht="13.9" customHeight="1" x14ac:dyDescent="0.2">
      <c r="A166" s="343" t="s">
        <v>214</v>
      </c>
      <c r="B166" s="267" t="s">
        <v>6</v>
      </c>
      <c r="C166" s="293">
        <f>C163*12</f>
        <v>180</v>
      </c>
      <c r="D166" s="328">
        <f>IF(C164&lt;=C163,E165,0)</f>
        <v>42000</v>
      </c>
      <c r="E166" s="337">
        <f>IFERROR(D166/C166,0)</f>
        <v>233.33333333333334</v>
      </c>
      <c r="F166" s="315"/>
      <c r="G166" s="6"/>
    </row>
    <row r="167" spans="1:7" ht="8.4499999999999993" customHeight="1" x14ac:dyDescent="0.2">
      <c r="A167" s="169"/>
      <c r="B167" s="267"/>
      <c r="C167" s="293"/>
      <c r="D167" s="328"/>
      <c r="E167" s="328"/>
      <c r="F167" s="315"/>
      <c r="G167" s="6"/>
    </row>
    <row r="168" spans="1:7" ht="13.9" customHeight="1" x14ac:dyDescent="0.2">
      <c r="A168" s="377" t="s">
        <v>320</v>
      </c>
      <c r="B168" s="269" t="s">
        <v>245</v>
      </c>
      <c r="C168" s="380">
        <v>9.7999999999999997E-3</v>
      </c>
      <c r="D168" s="325">
        <f>(D143+D148+D153+D158+D165)</f>
        <v>75800</v>
      </c>
      <c r="E168" s="334">
        <f>C168*D168</f>
        <v>742.84</v>
      </c>
      <c r="F168" s="315"/>
      <c r="G168" s="6"/>
    </row>
    <row r="169" spans="1:7" ht="13.9" customHeight="1" x14ac:dyDescent="0.2">
      <c r="A169" s="377" t="s">
        <v>243</v>
      </c>
      <c r="B169" s="269" t="s">
        <v>244</v>
      </c>
      <c r="C169" s="354">
        <v>12</v>
      </c>
      <c r="D169" s="324">
        <f>D165*0.01</f>
        <v>600</v>
      </c>
      <c r="E169" s="334">
        <f>D169/C169</f>
        <v>50</v>
      </c>
      <c r="F169" s="315"/>
      <c r="G169" s="6"/>
    </row>
    <row r="170" spans="1:7" ht="13.9" customHeight="1" x14ac:dyDescent="0.2">
      <c r="A170" s="377" t="s">
        <v>247</v>
      </c>
      <c r="B170" s="269" t="s">
        <v>244</v>
      </c>
      <c r="C170" s="354">
        <v>12</v>
      </c>
      <c r="D170" s="324">
        <v>2600</v>
      </c>
      <c r="E170" s="334">
        <f>D170/C170</f>
        <v>216.66666666666666</v>
      </c>
      <c r="F170" s="315"/>
      <c r="G170" s="6"/>
    </row>
    <row r="171" spans="1:7" ht="25.5" x14ac:dyDescent="0.2">
      <c r="A171" s="378" t="s">
        <v>324</v>
      </c>
      <c r="B171" s="269" t="s">
        <v>246</v>
      </c>
      <c r="C171" s="354">
        <f>20*25</f>
        <v>500</v>
      </c>
      <c r="D171" s="324">
        <v>0.9</v>
      </c>
      <c r="E171" s="334">
        <f>C171*D171</f>
        <v>450</v>
      </c>
      <c r="F171" s="315"/>
      <c r="G171" s="6"/>
    </row>
    <row r="172" spans="1:7" ht="13.9" customHeight="1" x14ac:dyDescent="0.2">
      <c r="A172" s="377" t="s">
        <v>326</v>
      </c>
      <c r="B172" s="269" t="s">
        <v>309</v>
      </c>
      <c r="C172" s="353">
        <f>C171/3.3</f>
        <v>151.51515151515153</v>
      </c>
      <c r="D172" s="324">
        <v>6.4660000000000002</v>
      </c>
      <c r="E172" s="334">
        <f>C172*D172</f>
        <v>979.69696969696986</v>
      </c>
      <c r="F172" s="315"/>
      <c r="G172" s="6"/>
    </row>
    <row r="173" spans="1:7" ht="13.9" customHeight="1" x14ac:dyDescent="0.2">
      <c r="A173" s="170"/>
      <c r="B173" s="269"/>
      <c r="C173" s="353"/>
      <c r="D173" s="325"/>
      <c r="E173" s="334"/>
      <c r="F173" s="315"/>
      <c r="G173" s="6"/>
    </row>
    <row r="174" spans="1:7" ht="13.9" customHeight="1" x14ac:dyDescent="0.2">
      <c r="A174" s="170"/>
      <c r="B174" s="269"/>
      <c r="C174" s="352"/>
      <c r="D174" s="325"/>
      <c r="E174" s="333"/>
      <c r="F174" s="315"/>
      <c r="G174" s="6"/>
    </row>
    <row r="175" spans="1:7" ht="28.15" customHeight="1" x14ac:dyDescent="0.2">
      <c r="A175" s="378" t="s">
        <v>322</v>
      </c>
      <c r="B175" s="379" t="s">
        <v>323</v>
      </c>
      <c r="C175" s="335">
        <v>1</v>
      </c>
      <c r="D175" s="324">
        <f>'Equipamentos e ferram ano '!F18</f>
        <v>1380.7333333333333</v>
      </c>
      <c r="E175" s="337">
        <f>C175*D175</f>
        <v>1380.7333333333333</v>
      </c>
      <c r="F175" s="315"/>
      <c r="G175" s="6"/>
    </row>
    <row r="176" spans="1:7" ht="13.9" customHeight="1" x14ac:dyDescent="0.2">
      <c r="A176" s="338"/>
      <c r="B176" s="267"/>
      <c r="C176" s="293"/>
      <c r="D176" s="328"/>
      <c r="E176" s="328"/>
      <c r="F176" s="315"/>
      <c r="G176" s="6"/>
    </row>
    <row r="177" spans="1:7" ht="38.25" x14ac:dyDescent="0.2">
      <c r="A177" s="378" t="s">
        <v>321</v>
      </c>
      <c r="B177" s="339" t="s">
        <v>226</v>
      </c>
      <c r="C177" s="340">
        <f>23.5*40*1</f>
        <v>940</v>
      </c>
      <c r="D177" s="376">
        <v>6.9950000000000001</v>
      </c>
      <c r="E177" s="342">
        <f>C177*D177</f>
        <v>6575.3</v>
      </c>
      <c r="F177" s="315"/>
      <c r="G177" s="6"/>
    </row>
    <row r="178" spans="1:7" ht="27.75" customHeight="1" x14ac:dyDescent="0.2">
      <c r="A178" s="378" t="s">
        <v>216</v>
      </c>
      <c r="B178" s="339" t="s">
        <v>217</v>
      </c>
      <c r="C178" s="340">
        <v>1</v>
      </c>
      <c r="D178" s="341">
        <v>1000</v>
      </c>
      <c r="E178" s="342">
        <f>C178*D178</f>
        <v>1000</v>
      </c>
      <c r="F178" s="315"/>
      <c r="G178" s="6"/>
    </row>
    <row r="179" spans="1:7" ht="13.9" customHeight="1" x14ac:dyDescent="0.2">
      <c r="A179" s="378" t="s">
        <v>315</v>
      </c>
      <c r="B179" s="339" t="s">
        <v>218</v>
      </c>
      <c r="C179" s="340">
        <f>25*20</f>
        <v>500</v>
      </c>
      <c r="D179" s="341">
        <v>2.4</v>
      </c>
      <c r="E179" s="342">
        <f>C179*D179</f>
        <v>1200</v>
      </c>
      <c r="F179" s="315"/>
      <c r="G179" s="6"/>
    </row>
    <row r="180" spans="1:7" ht="25.5" x14ac:dyDescent="0.2">
      <c r="A180" s="378" t="s">
        <v>313</v>
      </c>
      <c r="B180" s="339" t="s">
        <v>217</v>
      </c>
      <c r="C180" s="340">
        <v>1</v>
      </c>
      <c r="D180" s="341">
        <v>2500</v>
      </c>
      <c r="E180" s="342">
        <f>C180*D180</f>
        <v>2500</v>
      </c>
      <c r="F180" s="315"/>
      <c r="G180" s="6"/>
    </row>
    <row r="181" spans="1:7" ht="25.5" x14ac:dyDescent="0.2">
      <c r="A181" s="378" t="s">
        <v>325</v>
      </c>
      <c r="B181" s="339" t="s">
        <v>258</v>
      </c>
      <c r="C181" s="340">
        <f>50*23.5*2</f>
        <v>2350</v>
      </c>
      <c r="D181" s="341">
        <v>0.39</v>
      </c>
      <c r="E181" s="342">
        <f>C181*D181</f>
        <v>916.5</v>
      </c>
      <c r="F181" s="315"/>
      <c r="G181" s="6"/>
    </row>
    <row r="182" spans="1:7" ht="13.9" customHeight="1" x14ac:dyDescent="0.2">
      <c r="A182" s="169"/>
      <c r="B182" s="267"/>
      <c r="C182" s="328"/>
      <c r="D182" s="328"/>
      <c r="E182" s="328"/>
      <c r="F182" s="315"/>
      <c r="G182" s="6"/>
    </row>
    <row r="183" spans="1:7" ht="13.9" customHeight="1" thickBot="1" x14ac:dyDescent="0.25">
      <c r="A183" s="343" t="s">
        <v>219</v>
      </c>
      <c r="B183" s="344" t="s">
        <v>7</v>
      </c>
      <c r="C183" s="227"/>
      <c r="D183" s="328"/>
      <c r="E183" s="334">
        <f>E144+E149+E175+E177+E178+E179+E154+E159+E166+E168+E169+E170+E171+E172+E181+E180</f>
        <v>16705.903636363641</v>
      </c>
      <c r="F183" s="315"/>
      <c r="G183" s="6"/>
    </row>
    <row r="184" spans="1:7" ht="13.9" customHeight="1" thickBot="1" x14ac:dyDescent="0.25">
      <c r="A184" s="345"/>
      <c r="B184" s="345"/>
      <c r="C184" s="345"/>
      <c r="D184" s="346" t="s">
        <v>132</v>
      </c>
      <c r="E184" s="347">
        <v>1</v>
      </c>
      <c r="F184" s="321">
        <f>E183*E184</f>
        <v>16705.903636363641</v>
      </c>
      <c r="G184" s="6"/>
    </row>
    <row r="185" spans="1:7" ht="11.25" customHeight="1" x14ac:dyDescent="0.2">
      <c r="G185" s="6"/>
    </row>
    <row r="186" spans="1:7" ht="11.25" customHeight="1" thickBot="1" x14ac:dyDescent="0.25">
      <c r="A186" s="4"/>
      <c r="B186" s="4"/>
      <c r="C186" s="4"/>
      <c r="D186" s="174"/>
      <c r="E186" s="174"/>
      <c r="F186" s="174"/>
      <c r="G186" s="6"/>
    </row>
    <row r="187" spans="1:7" ht="15.6" customHeight="1" thickBot="1" x14ac:dyDescent="0.25">
      <c r="A187" s="14" t="s">
        <v>221</v>
      </c>
      <c r="B187" s="276"/>
      <c r="C187" s="276"/>
      <c r="D187" s="15"/>
      <c r="E187" s="277"/>
      <c r="F187" s="275">
        <f>F184</f>
        <v>16705.903636363641</v>
      </c>
      <c r="G187" s="6"/>
    </row>
    <row r="188" spans="1:7" ht="11.25" customHeight="1" x14ac:dyDescent="0.2">
      <c r="G188" s="6"/>
    </row>
    <row r="189" spans="1:7" ht="11.25" hidden="1" customHeight="1" thickBot="1" x14ac:dyDescent="0.25">
      <c r="A189" s="8" t="s">
        <v>193</v>
      </c>
      <c r="B189" s="4"/>
      <c r="C189" s="4"/>
      <c r="D189" s="174"/>
      <c r="E189" s="174"/>
      <c r="F189" s="174"/>
      <c r="G189" s="6"/>
    </row>
    <row r="190" spans="1:7" ht="11.25" hidden="1" customHeight="1" thickBot="1" x14ac:dyDescent="0.25">
      <c r="A190" s="4"/>
      <c r="B190" s="4"/>
      <c r="C190" s="4"/>
      <c r="D190" s="174"/>
      <c r="E190" s="174"/>
      <c r="F190" s="174"/>
      <c r="G190" s="6"/>
    </row>
    <row r="191" spans="1:7" ht="11.25" hidden="1" customHeight="1" thickBot="1" x14ac:dyDescent="0.25">
      <c r="A191" s="36" t="s">
        <v>20</v>
      </c>
      <c r="B191" s="37" t="s">
        <v>21</v>
      </c>
      <c r="C191" s="37" t="s">
        <v>12</v>
      </c>
      <c r="D191" s="38" t="s">
        <v>120</v>
      </c>
      <c r="E191" s="38" t="s">
        <v>22</v>
      </c>
      <c r="F191" s="39" t="s">
        <v>23</v>
      </c>
      <c r="G191" s="6"/>
    </row>
    <row r="192" spans="1:7" ht="11.25" hidden="1" customHeight="1" x14ac:dyDescent="0.2">
      <c r="A192" s="170" t="s">
        <v>198</v>
      </c>
      <c r="B192" s="269" t="s">
        <v>191</v>
      </c>
      <c r="C192" s="282">
        <v>0</v>
      </c>
      <c r="D192" s="272">
        <v>0</v>
      </c>
      <c r="E192" s="286">
        <f>C192*D192</f>
        <v>0</v>
      </c>
      <c r="F192" s="174"/>
      <c r="G192" s="6"/>
    </row>
    <row r="193" spans="1:7" ht="11.25" hidden="1" customHeight="1" x14ac:dyDescent="0.2">
      <c r="A193" s="170"/>
      <c r="B193" s="269"/>
      <c r="C193" s="293"/>
      <c r="D193" s="272"/>
      <c r="E193" s="286"/>
      <c r="F193" s="174"/>
      <c r="G193" s="6"/>
    </row>
    <row r="194" spans="1:7" ht="11.25" hidden="1" customHeight="1" thickBot="1" x14ac:dyDescent="0.25">
      <c r="A194" s="169"/>
      <c r="B194" s="294"/>
      <c r="C194" s="293"/>
      <c r="D194" s="272"/>
      <c r="E194" s="286"/>
      <c r="F194" s="274"/>
      <c r="G194" s="6"/>
    </row>
    <row r="195" spans="1:7" ht="11.25" hidden="1" customHeight="1" thickBot="1" x14ac:dyDescent="0.25">
      <c r="A195" s="295"/>
      <c r="B195" s="295"/>
      <c r="C195" s="295"/>
      <c r="D195" s="296" t="s">
        <v>192</v>
      </c>
      <c r="E195" s="297">
        <v>1</v>
      </c>
      <c r="F195" s="298">
        <f>SUM(E192:E194)</f>
        <v>0</v>
      </c>
      <c r="G195" s="6"/>
    </row>
    <row r="196" spans="1:7" ht="11.25" hidden="1" customHeight="1" x14ac:dyDescent="0.2">
      <c r="G196" s="6"/>
    </row>
    <row r="197" spans="1:7" ht="11.25" customHeight="1" thickBot="1" x14ac:dyDescent="0.25">
      <c r="G197" s="6"/>
    </row>
    <row r="198" spans="1:7" ht="11.25" customHeight="1" thickBot="1" x14ac:dyDescent="0.25">
      <c r="A198" s="14" t="s">
        <v>184</v>
      </c>
      <c r="B198" s="242"/>
      <c r="C198" s="242"/>
      <c r="D198" s="243"/>
      <c r="E198" s="244"/>
      <c r="F198" s="278">
        <f>F115+F134+F187+F195</f>
        <v>220585.54703636363</v>
      </c>
      <c r="G198" s="6"/>
    </row>
    <row r="199" spans="1:7" ht="11.25" customHeight="1" x14ac:dyDescent="0.2">
      <c r="G199" s="6"/>
    </row>
    <row r="200" spans="1:7" ht="13.5" thickBot="1" x14ac:dyDescent="0.25">
      <c r="A200" s="20" t="s">
        <v>200</v>
      </c>
      <c r="B200" s="20"/>
      <c r="C200" s="20"/>
      <c r="D200" s="21"/>
      <c r="E200" s="21"/>
      <c r="F200" s="19"/>
    </row>
    <row r="201" spans="1:7" x14ac:dyDescent="0.2">
      <c r="A201" s="52" t="s">
        <v>20</v>
      </c>
      <c r="B201" s="53" t="s">
        <v>21</v>
      </c>
      <c r="C201" s="53" t="s">
        <v>12</v>
      </c>
      <c r="D201" s="54" t="s">
        <v>120</v>
      </c>
      <c r="E201" s="54" t="s">
        <v>22</v>
      </c>
      <c r="F201" s="197" t="s">
        <v>23</v>
      </c>
    </row>
    <row r="202" spans="1:7" x14ac:dyDescent="0.2">
      <c r="A202" s="194" t="s">
        <v>9</v>
      </c>
      <c r="B202" s="227" t="s">
        <v>1</v>
      </c>
      <c r="C202" s="309">
        <f>'4. BDI'!C17</f>
        <v>0.2039</v>
      </c>
      <c r="D202" s="195">
        <f>F198</f>
        <v>220585.54703636363</v>
      </c>
      <c r="E202" s="195">
        <f>D202*C202</f>
        <v>44977.393040714545</v>
      </c>
      <c r="F202" s="196"/>
    </row>
    <row r="203" spans="1:7" ht="13.5" thickBot="1" x14ac:dyDescent="0.25">
      <c r="A203" s="192"/>
      <c r="B203" s="192"/>
      <c r="C203" s="192"/>
      <c r="D203" s="192"/>
      <c r="E203" s="192"/>
      <c r="F203" s="193"/>
    </row>
    <row r="204" spans="1:7" ht="13.5" thickBot="1" x14ac:dyDescent="0.25">
      <c r="A204" s="381" t="s">
        <v>202</v>
      </c>
      <c r="B204" s="382"/>
      <c r="C204" s="382"/>
      <c r="D204" s="382"/>
      <c r="E204" s="383"/>
      <c r="F204" s="182">
        <f>E202</f>
        <v>44977.393040714545</v>
      </c>
    </row>
    <row r="205" spans="1:7" ht="11.25" customHeight="1" thickBot="1" x14ac:dyDescent="0.25"/>
    <row r="206" spans="1:7" ht="24.75" customHeight="1" thickBot="1" x14ac:dyDescent="0.25">
      <c r="A206" s="14" t="s">
        <v>135</v>
      </c>
      <c r="B206" s="16"/>
      <c r="C206" s="16"/>
      <c r="D206" s="17"/>
      <c r="E206" s="18"/>
      <c r="F206" s="184">
        <f>F115+F134+F187+F204+F195</f>
        <v>265562.94007707818</v>
      </c>
    </row>
    <row r="207" spans="1:7" ht="13.5" customHeight="1" thickBot="1" x14ac:dyDescent="0.25">
      <c r="A207" s="20"/>
      <c r="B207" s="32"/>
      <c r="C207" s="32"/>
      <c r="D207" s="35"/>
      <c r="E207" s="35"/>
      <c r="F207" s="245"/>
    </row>
    <row r="208" spans="1:7" ht="13.5" customHeight="1" thickBot="1" x14ac:dyDescent="0.25">
      <c r="A208" s="14" t="s">
        <v>157</v>
      </c>
      <c r="B208" s="242"/>
      <c r="C208" s="242"/>
      <c r="D208" s="243"/>
      <c r="E208" s="244"/>
      <c r="F208" s="184">
        <f>F206/C131</f>
        <v>4426.0490012846367</v>
      </c>
    </row>
    <row r="209" spans="1:7" ht="12.6" customHeight="1" x14ac:dyDescent="0.2">
      <c r="A209" s="33"/>
      <c r="B209" s="33"/>
      <c r="C209" s="33"/>
      <c r="D209" s="34"/>
      <c r="E209" s="34"/>
      <c r="F209" s="34"/>
      <c r="G209" s="234"/>
    </row>
    <row r="210" spans="1:7" x14ac:dyDescent="0.2">
      <c r="A210" s="8" t="s">
        <v>201</v>
      </c>
      <c r="B210" s="4"/>
      <c r="C210" s="4"/>
      <c r="D210" s="174"/>
      <c r="E210" s="174"/>
      <c r="F210" s="305"/>
    </row>
    <row r="211" spans="1:7" x14ac:dyDescent="0.2">
      <c r="F211" s="306"/>
    </row>
    <row r="212" spans="1:7" x14ac:dyDescent="0.2">
      <c r="F212" s="307"/>
    </row>
    <row r="213" spans="1:7" x14ac:dyDescent="0.2">
      <c r="F213" s="189"/>
    </row>
    <row r="237" spans="4:7" ht="9" customHeight="1" x14ac:dyDescent="0.2">
      <c r="D237" s="6"/>
      <c r="E237" s="6"/>
      <c r="F237" s="6"/>
      <c r="G237" s="6"/>
    </row>
  </sheetData>
  <mergeCells count="14">
    <mergeCell ref="A1:F1"/>
    <mergeCell ref="A18:C18"/>
    <mergeCell ref="A4:F4"/>
    <mergeCell ref="A26:D26"/>
    <mergeCell ref="A6:F6"/>
    <mergeCell ref="A25:E25"/>
    <mergeCell ref="A2:F3"/>
    <mergeCell ref="A204:E204"/>
    <mergeCell ref="A131:B131"/>
    <mergeCell ref="A48:D48"/>
    <mergeCell ref="A57:C57"/>
    <mergeCell ref="A39:F39"/>
    <mergeCell ref="A67:C67"/>
    <mergeCell ref="A77:C77"/>
  </mergeCells>
  <phoneticPr fontId="13" type="noConversion"/>
  <hyperlinks>
    <hyperlink ref="A137" location="AbaDeprec" display="3.1.1. Depreciação"/>
  </hyperlinks>
  <printOptions horizontalCentered="1"/>
  <pageMargins left="0.9055118110236221" right="0.70866141732283472" top="0.74803149606299213" bottom="0.55118110236220474" header="0.31496062992125984" footer="0.31496062992125984"/>
  <pageSetup paperSize="9" scale="58" fitToHeight="2" orientation="portrait" verticalDpi="300" r:id="rId1"/>
  <headerFooter alignWithMargins="0">
    <oddFooter>&amp;R&amp;P de &amp;N</oddFooter>
  </headerFooter>
  <rowBreaks count="1" manualBreakCount="1">
    <brk id="3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B40" sqref="B40"/>
    </sheetView>
  </sheetViews>
  <sheetFormatPr defaultColWidth="9.140625" defaultRowHeight="12.75" x14ac:dyDescent="0.2"/>
  <cols>
    <col min="1" max="1" width="13.5703125" style="1" customWidth="1"/>
    <col min="2" max="2" width="42.7109375" style="1" customWidth="1"/>
    <col min="3" max="3" width="14.5703125" style="1" customWidth="1"/>
    <col min="4" max="9" width="9.140625" style="1"/>
    <col min="10" max="10" width="11" style="1" bestFit="1" customWidth="1"/>
    <col min="11" max="16384" width="9.140625" style="1"/>
  </cols>
  <sheetData>
    <row r="1" spans="1:11" x14ac:dyDescent="0.2">
      <c r="A1" s="8" t="s">
        <v>111</v>
      </c>
    </row>
    <row r="2" spans="1:11" x14ac:dyDescent="0.2">
      <c r="A2" s="66" t="s">
        <v>126</v>
      </c>
    </row>
    <row r="3" spans="1:11" ht="13.5" thickBot="1" x14ac:dyDescent="0.25"/>
    <row r="4" spans="1:11" ht="18" x14ac:dyDescent="0.2">
      <c r="A4" s="408" t="s">
        <v>222</v>
      </c>
      <c r="B4" s="409"/>
      <c r="C4" s="410"/>
      <c r="D4" s="71"/>
      <c r="E4" s="71"/>
    </row>
    <row r="5" spans="1:11" ht="14.25" x14ac:dyDescent="0.2">
      <c r="A5" s="87" t="s">
        <v>58</v>
      </c>
      <c r="B5" s="88" t="s">
        <v>59</v>
      </c>
      <c r="C5" s="89" t="s">
        <v>60</v>
      </c>
    </row>
    <row r="6" spans="1:11" ht="14.25" x14ac:dyDescent="0.2">
      <c r="A6" s="87" t="s">
        <v>61</v>
      </c>
      <c r="B6" s="88" t="s">
        <v>13</v>
      </c>
      <c r="C6" s="91">
        <v>0.2</v>
      </c>
      <c r="E6" s="78"/>
      <c r="F6" s="78"/>
      <c r="G6" s="78"/>
      <c r="H6" s="78"/>
      <c r="I6" s="78"/>
      <c r="J6" s="78"/>
      <c r="K6" s="78"/>
    </row>
    <row r="7" spans="1:11" ht="14.25" x14ac:dyDescent="0.2">
      <c r="A7" s="87" t="s">
        <v>62</v>
      </c>
      <c r="B7" s="88" t="s">
        <v>63</v>
      </c>
      <c r="C7" s="91">
        <v>1.4999999999999999E-2</v>
      </c>
      <c r="E7" s="78"/>
      <c r="F7" s="78"/>
      <c r="G7" s="78"/>
      <c r="H7" s="78"/>
      <c r="I7" s="78"/>
      <c r="J7" s="78"/>
      <c r="K7" s="78"/>
    </row>
    <row r="8" spans="1:11" ht="14.25" x14ac:dyDescent="0.2">
      <c r="A8" s="87" t="s">
        <v>64</v>
      </c>
      <c r="B8" s="88" t="s">
        <v>65</v>
      </c>
      <c r="C8" s="91">
        <v>0.01</v>
      </c>
      <c r="E8" s="78"/>
      <c r="F8" s="78"/>
      <c r="G8" s="78"/>
      <c r="H8" s="78"/>
      <c r="I8" s="78"/>
      <c r="J8" s="78"/>
      <c r="K8" s="78"/>
    </row>
    <row r="9" spans="1:11" ht="14.25" x14ac:dyDescent="0.2">
      <c r="A9" s="87" t="s">
        <v>66</v>
      </c>
      <c r="B9" s="88" t="s">
        <v>67</v>
      </c>
      <c r="C9" s="91">
        <v>2E-3</v>
      </c>
      <c r="E9" s="78"/>
      <c r="F9" s="78"/>
      <c r="G9" s="78"/>
      <c r="H9" s="78"/>
      <c r="I9" s="78"/>
      <c r="J9" s="78"/>
      <c r="K9" s="78"/>
    </row>
    <row r="10" spans="1:11" ht="14.25" x14ac:dyDescent="0.2">
      <c r="A10" s="87" t="s">
        <v>68</v>
      </c>
      <c r="B10" s="88" t="s">
        <v>69</v>
      </c>
      <c r="C10" s="91">
        <v>6.0000000000000001E-3</v>
      </c>
      <c r="E10" s="78"/>
      <c r="F10" s="78"/>
      <c r="G10" s="78"/>
      <c r="H10" s="78"/>
      <c r="I10" s="78"/>
      <c r="J10" s="78"/>
      <c r="K10" s="78"/>
    </row>
    <row r="11" spans="1:11" ht="14.25" x14ac:dyDescent="0.2">
      <c r="A11" s="87" t="s">
        <v>70</v>
      </c>
      <c r="B11" s="88" t="s">
        <v>71</v>
      </c>
      <c r="C11" s="91">
        <v>2.5000000000000001E-2</v>
      </c>
      <c r="E11" s="78"/>
      <c r="F11" s="78"/>
      <c r="G11" s="78"/>
      <c r="H11" s="78"/>
      <c r="I11" s="78"/>
      <c r="J11" s="78"/>
      <c r="K11" s="78"/>
    </row>
    <row r="12" spans="1:11" ht="14.25" x14ac:dyDescent="0.2">
      <c r="A12" s="87" t="s">
        <v>72</v>
      </c>
      <c r="B12" s="88" t="s">
        <v>151</v>
      </c>
      <c r="C12" s="91">
        <v>0.03</v>
      </c>
      <c r="E12" s="78"/>
      <c r="F12" s="78"/>
      <c r="G12" s="78"/>
      <c r="H12" s="78"/>
      <c r="I12" s="78"/>
      <c r="J12" s="78"/>
      <c r="K12" s="78"/>
    </row>
    <row r="13" spans="1:11" ht="14.25" x14ac:dyDescent="0.2">
      <c r="A13" s="87" t="s">
        <v>73</v>
      </c>
      <c r="B13" s="88" t="s">
        <v>14</v>
      </c>
      <c r="C13" s="91">
        <v>0.08</v>
      </c>
      <c r="E13" s="78"/>
      <c r="F13" s="78"/>
      <c r="G13" s="78"/>
      <c r="H13" s="78"/>
      <c r="I13" s="78"/>
      <c r="J13" s="78"/>
      <c r="K13" s="78"/>
    </row>
    <row r="14" spans="1:11" ht="15" x14ac:dyDescent="0.2">
      <c r="A14" s="87" t="s">
        <v>74</v>
      </c>
      <c r="B14" s="93" t="s">
        <v>75</v>
      </c>
      <c r="C14" s="94">
        <f>SUM(C6:C13)</f>
        <v>0.36800000000000005</v>
      </c>
      <c r="E14" s="78"/>
      <c r="F14" s="78"/>
      <c r="G14" s="78"/>
      <c r="H14" s="78"/>
      <c r="I14" s="78"/>
      <c r="J14" s="78"/>
      <c r="K14" s="78"/>
    </row>
    <row r="15" spans="1:11" ht="15" x14ac:dyDescent="0.2">
      <c r="A15" s="95"/>
      <c r="B15" s="96"/>
      <c r="C15" s="97"/>
      <c r="E15" s="78"/>
      <c r="F15" s="78"/>
      <c r="G15" s="78"/>
      <c r="H15" s="78"/>
      <c r="I15" s="78"/>
      <c r="J15" s="78"/>
      <c r="K15" s="78"/>
    </row>
    <row r="16" spans="1:11" ht="14.25" x14ac:dyDescent="0.2">
      <c r="A16" s="87" t="s">
        <v>76</v>
      </c>
      <c r="B16" s="98" t="s">
        <v>77</v>
      </c>
      <c r="C16" s="91">
        <f>ROUND(IF('3. CAGED'!C39&gt;24,(1-12/'3. CAGED'!C39)*0.1111,0.1111-C25),4)</f>
        <v>6.0499999999999998E-2</v>
      </c>
      <c r="E16" s="78"/>
      <c r="F16" s="78"/>
      <c r="G16" s="78"/>
      <c r="H16" s="78"/>
      <c r="I16" s="78"/>
      <c r="J16" s="78"/>
      <c r="K16" s="78"/>
    </row>
    <row r="17" spans="1:11" ht="14.25" x14ac:dyDescent="0.2">
      <c r="A17" s="87" t="s">
        <v>78</v>
      </c>
      <c r="B17" s="98" t="s">
        <v>79</v>
      </c>
      <c r="C17" s="91">
        <f>ROUND('3. CAGED'!C33/'3. CAGED'!C30,4)</f>
        <v>8.3299999999999999E-2</v>
      </c>
      <c r="E17" s="78"/>
      <c r="F17" s="78"/>
      <c r="G17" s="78"/>
      <c r="H17" s="78"/>
      <c r="I17" s="78"/>
      <c r="J17" s="78"/>
      <c r="K17" s="78"/>
    </row>
    <row r="18" spans="1:11" ht="14.25" x14ac:dyDescent="0.2">
      <c r="A18" s="87" t="s">
        <v>119</v>
      </c>
      <c r="B18" s="98" t="s">
        <v>177</v>
      </c>
      <c r="C18" s="91">
        <v>5.9999999999999995E-4</v>
      </c>
      <c r="E18" s="78"/>
      <c r="F18" s="78"/>
      <c r="G18" s="78"/>
      <c r="H18" s="78"/>
      <c r="I18" s="78"/>
      <c r="J18" s="78"/>
      <c r="K18" s="78"/>
    </row>
    <row r="19" spans="1:11" ht="14.25" x14ac:dyDescent="0.2">
      <c r="A19" s="87" t="s">
        <v>80</v>
      </c>
      <c r="B19" s="98" t="s">
        <v>82</v>
      </c>
      <c r="C19" s="91">
        <v>5.0000000000000001E-3</v>
      </c>
      <c r="E19" s="78"/>
      <c r="F19" s="78"/>
      <c r="G19" s="78"/>
      <c r="H19" s="78"/>
      <c r="I19" s="78"/>
      <c r="J19" s="78"/>
      <c r="K19" s="78"/>
    </row>
    <row r="20" spans="1:11" ht="15" customHeight="1" x14ac:dyDescent="0.2">
      <c r="A20" s="87" t="s">
        <v>81</v>
      </c>
      <c r="B20" s="98" t="s">
        <v>84</v>
      </c>
      <c r="C20" s="91">
        <v>3.0999999999999999E-3</v>
      </c>
      <c r="E20" s="78"/>
      <c r="F20" s="78"/>
      <c r="G20" s="78"/>
      <c r="H20" s="78"/>
      <c r="I20" s="78"/>
      <c r="J20" s="78"/>
      <c r="K20" s="78"/>
    </row>
    <row r="21" spans="1:11" ht="14.25" x14ac:dyDescent="0.2">
      <c r="A21" s="87" t="s">
        <v>83</v>
      </c>
      <c r="B21" s="98" t="s">
        <v>85</v>
      </c>
      <c r="C21" s="91">
        <v>5.0000000000000001E-3</v>
      </c>
      <c r="E21" s="78"/>
      <c r="F21" s="78"/>
      <c r="G21" s="78"/>
      <c r="H21" s="78"/>
      <c r="I21" s="78"/>
      <c r="J21" s="78"/>
      <c r="K21" s="78"/>
    </row>
    <row r="22" spans="1:11" ht="15" x14ac:dyDescent="0.2">
      <c r="A22" s="87" t="s">
        <v>86</v>
      </c>
      <c r="B22" s="93" t="s">
        <v>87</v>
      </c>
      <c r="C22" s="94">
        <f>SUM(C16:C21)</f>
        <v>0.15749999999999997</v>
      </c>
      <c r="E22" s="78"/>
      <c r="F22" s="78"/>
      <c r="G22" s="78"/>
      <c r="H22" s="78"/>
      <c r="I22" s="78"/>
      <c r="J22" s="78"/>
      <c r="K22" s="78"/>
    </row>
    <row r="23" spans="1:11" ht="15" x14ac:dyDescent="0.2">
      <c r="A23" s="95"/>
      <c r="B23" s="96"/>
      <c r="C23" s="97"/>
      <c r="E23" s="78"/>
      <c r="F23" s="78"/>
      <c r="G23" s="78"/>
      <c r="H23" s="78"/>
      <c r="I23" s="78"/>
      <c r="J23" s="78"/>
      <c r="K23" s="78"/>
    </row>
    <row r="24" spans="1:11" ht="14.25" x14ac:dyDescent="0.2">
      <c r="A24" s="87" t="s">
        <v>88</v>
      </c>
      <c r="B24" s="88" t="s">
        <v>89</v>
      </c>
      <c r="C24" s="91">
        <v>2.5000000000000001E-2</v>
      </c>
      <c r="D24" s="99"/>
      <c r="E24" s="78"/>
      <c r="F24" s="78"/>
      <c r="G24" s="78"/>
      <c r="H24" s="78"/>
      <c r="I24" s="78"/>
      <c r="J24" s="78"/>
      <c r="K24" s="78"/>
    </row>
    <row r="25" spans="1:11" ht="14.25" x14ac:dyDescent="0.2">
      <c r="A25" s="87" t="s">
        <v>118</v>
      </c>
      <c r="B25" s="88" t="s">
        <v>91</v>
      </c>
      <c r="C25" s="91">
        <v>5.0599999999999999E-2</v>
      </c>
      <c r="E25" s="78"/>
      <c r="F25" s="78"/>
      <c r="G25" s="100"/>
      <c r="H25" s="78"/>
      <c r="I25" s="78"/>
      <c r="J25" s="78"/>
      <c r="K25" s="78"/>
    </row>
    <row r="26" spans="1:11" ht="14.25" x14ac:dyDescent="0.2">
      <c r="A26" s="87" t="s">
        <v>90</v>
      </c>
      <c r="B26" s="88" t="s">
        <v>93</v>
      </c>
      <c r="C26" s="91">
        <v>4.1000000000000003E-3</v>
      </c>
      <c r="E26" s="78"/>
      <c r="F26" s="78"/>
      <c r="G26" s="78"/>
      <c r="H26" s="78"/>
      <c r="I26" s="78"/>
      <c r="J26" s="78"/>
      <c r="K26" s="78"/>
    </row>
    <row r="27" spans="1:11" ht="14.25" x14ac:dyDescent="0.2">
      <c r="A27" s="87" t="s">
        <v>92</v>
      </c>
      <c r="B27" s="88" t="s">
        <v>95</v>
      </c>
      <c r="C27" s="91">
        <v>2.5000000000000001E-2</v>
      </c>
      <c r="E27" s="78"/>
      <c r="F27" s="101"/>
      <c r="G27" s="78"/>
      <c r="H27" s="78"/>
      <c r="I27" s="78"/>
      <c r="J27" s="78"/>
      <c r="K27" s="78"/>
    </row>
    <row r="28" spans="1:11" ht="14.25" x14ac:dyDescent="0.2">
      <c r="A28" s="87" t="s">
        <v>94</v>
      </c>
      <c r="B28" s="88" t="s">
        <v>96</v>
      </c>
      <c r="C28" s="91">
        <v>2.5999999999999999E-3</v>
      </c>
      <c r="E28" s="78"/>
      <c r="F28" s="78"/>
      <c r="G28" s="78"/>
      <c r="H28" s="78"/>
      <c r="I28" s="78"/>
      <c r="J28" s="78"/>
      <c r="K28" s="78"/>
    </row>
    <row r="29" spans="1:11" ht="15" x14ac:dyDescent="0.2">
      <c r="A29" s="87" t="s">
        <v>97</v>
      </c>
      <c r="B29" s="93" t="s">
        <v>98</v>
      </c>
      <c r="C29" s="94">
        <f>SUM(C24:C28)</f>
        <v>0.10730000000000002</v>
      </c>
      <c r="E29" s="78"/>
      <c r="F29" s="78"/>
      <c r="G29" s="78"/>
      <c r="H29" s="78"/>
      <c r="I29" s="78"/>
      <c r="J29" s="78"/>
      <c r="K29" s="78"/>
    </row>
    <row r="30" spans="1:11" ht="15" x14ac:dyDescent="0.2">
      <c r="A30" s="95"/>
      <c r="B30" s="96"/>
      <c r="C30" s="97"/>
      <c r="E30" s="78"/>
      <c r="F30" s="78"/>
      <c r="G30" s="78"/>
      <c r="H30" s="78"/>
      <c r="I30" s="78"/>
      <c r="J30" s="78"/>
      <c r="K30" s="78"/>
    </row>
    <row r="31" spans="1:11" ht="14.25" x14ac:dyDescent="0.2">
      <c r="A31" s="87" t="s">
        <v>99</v>
      </c>
      <c r="B31" s="88" t="s">
        <v>100</v>
      </c>
      <c r="C31" s="91">
        <f>ROUND(C14*C22,4)</f>
        <v>5.8000000000000003E-2</v>
      </c>
      <c r="E31" s="78"/>
      <c r="F31" s="78"/>
      <c r="G31" s="78"/>
      <c r="H31" s="78"/>
      <c r="I31" s="78"/>
      <c r="J31" s="78"/>
      <c r="K31" s="78"/>
    </row>
    <row r="32" spans="1:11" ht="28.5" x14ac:dyDescent="0.2">
      <c r="A32" s="87" t="s">
        <v>101</v>
      </c>
      <c r="B32" s="102" t="s">
        <v>102</v>
      </c>
      <c r="C32" s="91">
        <f>ROUND((C24*C14),4)</f>
        <v>9.1999999999999998E-3</v>
      </c>
      <c r="E32" s="78"/>
      <c r="F32" s="78"/>
      <c r="G32" s="78"/>
      <c r="H32" s="78"/>
      <c r="I32" s="78"/>
      <c r="J32" s="78"/>
      <c r="K32" s="78"/>
    </row>
    <row r="33" spans="1:11" ht="15" x14ac:dyDescent="0.2">
      <c r="A33" s="87" t="s">
        <v>103</v>
      </c>
      <c r="B33" s="93" t="s">
        <v>104</v>
      </c>
      <c r="C33" s="94">
        <f>SUM(C31:C32)</f>
        <v>6.720000000000001E-2</v>
      </c>
      <c r="E33" s="78"/>
      <c r="F33" s="78"/>
      <c r="G33" s="78"/>
      <c r="H33" s="78"/>
      <c r="I33" s="78"/>
      <c r="J33" s="78"/>
      <c r="K33" s="78"/>
    </row>
    <row r="34" spans="1:11" ht="15.75" thickBot="1" x14ac:dyDescent="0.25">
      <c r="A34" s="104"/>
      <c r="B34" s="105" t="s">
        <v>105</v>
      </c>
      <c r="C34" s="106">
        <f>C33+C29+C22+C14</f>
        <v>0.70000000000000007</v>
      </c>
      <c r="E34" s="78"/>
      <c r="F34" s="78"/>
      <c r="G34" s="78"/>
      <c r="H34" s="78"/>
      <c r="I34" s="78"/>
      <c r="J34" s="78"/>
      <c r="K34" s="78"/>
    </row>
    <row r="35" spans="1:11" ht="15" x14ac:dyDescent="0.2">
      <c r="A35" s="92"/>
      <c r="B35" s="107"/>
      <c r="C35" s="108"/>
      <c r="E35" s="78"/>
      <c r="F35" s="78"/>
      <c r="G35" s="78"/>
      <c r="H35" s="78"/>
      <c r="I35" s="78"/>
      <c r="J35" s="78"/>
      <c r="K35" s="78"/>
    </row>
    <row r="36" spans="1:11" ht="14.25" x14ac:dyDescent="0.2">
      <c r="A36" s="92"/>
      <c r="B36" s="92"/>
      <c r="C36" s="109"/>
      <c r="E36" s="78"/>
      <c r="F36" s="78"/>
      <c r="G36" s="78"/>
      <c r="H36" s="78"/>
      <c r="I36" s="78"/>
      <c r="J36" s="78"/>
      <c r="K36" s="78"/>
    </row>
    <row r="37" spans="1:11" ht="14.25" x14ac:dyDescent="0.2">
      <c r="A37" s="90"/>
      <c r="B37" s="90"/>
      <c r="C37" s="110"/>
      <c r="E37" s="78"/>
      <c r="F37" s="78"/>
      <c r="G37" s="78"/>
      <c r="H37" s="78"/>
      <c r="I37" s="78"/>
      <c r="J37" s="78"/>
      <c r="K37" s="78"/>
    </row>
    <row r="38" spans="1:11" ht="14.25" x14ac:dyDescent="0.2">
      <c r="A38" s="90"/>
      <c r="B38" s="90"/>
      <c r="C38" s="110"/>
      <c r="E38" s="78"/>
      <c r="F38" s="78"/>
      <c r="G38" s="78"/>
      <c r="H38" s="78"/>
      <c r="I38" s="78"/>
      <c r="J38" s="78"/>
      <c r="K38" s="78"/>
    </row>
    <row r="39" spans="1:11" ht="14.25" x14ac:dyDescent="0.2">
      <c r="A39" s="90"/>
      <c r="B39" s="90"/>
      <c r="C39" s="110"/>
      <c r="E39" s="78"/>
      <c r="F39" s="78"/>
      <c r="G39" s="78"/>
      <c r="H39" s="78"/>
      <c r="I39" s="78"/>
      <c r="J39" s="78"/>
      <c r="K39" s="78"/>
    </row>
    <row r="40" spans="1:11" ht="15" x14ac:dyDescent="0.2">
      <c r="A40" s="90"/>
      <c r="B40" s="111"/>
      <c r="C40" s="112"/>
      <c r="E40" s="78"/>
      <c r="F40" s="78"/>
      <c r="G40" s="78"/>
      <c r="H40" s="78"/>
      <c r="I40" s="78"/>
      <c r="J40" s="78"/>
      <c r="K40" s="78"/>
    </row>
    <row r="41" spans="1:11" ht="15" x14ac:dyDescent="0.2">
      <c r="A41" s="103"/>
      <c r="B41" s="111"/>
      <c r="C41" s="112"/>
      <c r="D41" s="78"/>
      <c r="E41" s="78"/>
      <c r="F41" s="78"/>
      <c r="G41" s="78"/>
      <c r="H41" s="78"/>
      <c r="I41" s="78"/>
      <c r="J41" s="78"/>
      <c r="K41" s="78"/>
    </row>
    <row r="42" spans="1:11" ht="16.5" x14ac:dyDescent="0.2">
      <c r="A42" s="113"/>
      <c r="B42" s="78"/>
      <c r="C42" s="78"/>
      <c r="D42" s="78"/>
      <c r="E42" s="78"/>
      <c r="F42" s="78"/>
      <c r="G42" s="78"/>
      <c r="H42" s="78"/>
      <c r="I42" s="78"/>
      <c r="J42" s="78"/>
      <c r="K42" s="78"/>
    </row>
    <row r="43" spans="1:11" x14ac:dyDescent="0.2">
      <c r="A43" s="114"/>
      <c r="B43" s="115"/>
      <c r="C43" s="115"/>
      <c r="D43" s="78"/>
      <c r="E43" s="78"/>
      <c r="F43" s="78"/>
      <c r="G43" s="78"/>
      <c r="H43" s="78"/>
      <c r="I43" s="78"/>
      <c r="J43" s="78"/>
      <c r="K43" s="78"/>
    </row>
    <row r="44" spans="1:11" ht="14.25" x14ac:dyDescent="0.2">
      <c r="A44" s="90"/>
      <c r="B44" s="116"/>
      <c r="C44" s="115"/>
      <c r="D44" s="78"/>
      <c r="E44" s="78"/>
      <c r="F44" s="78"/>
      <c r="G44" s="78"/>
      <c r="H44" s="78"/>
      <c r="I44" s="78"/>
      <c r="J44" s="78"/>
      <c r="K44" s="78"/>
    </row>
    <row r="45" spans="1:11" ht="14.25" x14ac:dyDescent="0.2">
      <c r="A45" s="90"/>
      <c r="B45" s="116"/>
      <c r="C45" s="90"/>
      <c r="D45" s="78"/>
      <c r="E45" s="78"/>
      <c r="F45" s="78"/>
      <c r="G45" s="78"/>
      <c r="H45" s="78"/>
      <c r="I45" s="78"/>
      <c r="J45" s="78"/>
      <c r="K45" s="78"/>
    </row>
    <row r="46" spans="1:11" ht="14.25" x14ac:dyDescent="0.2">
      <c r="A46" s="90"/>
      <c r="B46" s="110"/>
      <c r="C46" s="115"/>
      <c r="D46" s="78"/>
      <c r="E46" s="78"/>
      <c r="F46" s="78"/>
      <c r="G46" s="78"/>
      <c r="H46" s="78"/>
      <c r="I46" s="78"/>
      <c r="J46" s="78"/>
      <c r="K46" s="78"/>
    </row>
    <row r="47" spans="1:11" ht="14.25" x14ac:dyDescent="0.2">
      <c r="A47" s="90"/>
      <c r="B47" s="116"/>
      <c r="C47" s="90"/>
      <c r="D47" s="78"/>
      <c r="E47" s="78"/>
      <c r="F47" s="78"/>
      <c r="G47" s="78"/>
      <c r="H47" s="78"/>
      <c r="I47" s="78"/>
      <c r="J47" s="78"/>
      <c r="K47" s="78"/>
    </row>
    <row r="48" spans="1:11" ht="14.25" x14ac:dyDescent="0.2">
      <c r="A48" s="90"/>
      <c r="B48" s="110"/>
      <c r="C48" s="115"/>
      <c r="D48" s="78"/>
      <c r="E48" s="78"/>
      <c r="F48" s="78"/>
      <c r="G48" s="78"/>
      <c r="H48" s="78"/>
      <c r="I48" s="78"/>
      <c r="J48" s="78"/>
      <c r="K48" s="78"/>
    </row>
    <row r="49" spans="1:11" ht="14.25" x14ac:dyDescent="0.2">
      <c r="A49" s="90"/>
      <c r="B49" s="116"/>
      <c r="C49" s="90"/>
      <c r="D49" s="78"/>
      <c r="E49" s="78"/>
      <c r="F49" s="78"/>
      <c r="G49" s="78"/>
      <c r="H49" s="78"/>
      <c r="I49" s="78"/>
      <c r="J49" s="78"/>
      <c r="K49" s="78"/>
    </row>
    <row r="50" spans="1:11" ht="14.25" x14ac:dyDescent="0.2">
      <c r="A50" s="90"/>
      <c r="B50" s="110"/>
      <c r="C50" s="115"/>
      <c r="D50" s="78"/>
      <c r="E50" s="78"/>
      <c r="F50" s="78"/>
      <c r="G50" s="78"/>
      <c r="H50" s="78"/>
      <c r="I50" s="78"/>
      <c r="J50" s="78"/>
      <c r="K50" s="78"/>
    </row>
    <row r="51" spans="1:11" ht="14.25" x14ac:dyDescent="0.2">
      <c r="A51" s="90"/>
      <c r="B51" s="116"/>
      <c r="C51" s="90"/>
      <c r="D51" s="78"/>
      <c r="E51" s="78"/>
      <c r="F51" s="78"/>
      <c r="G51" s="78"/>
      <c r="H51" s="78"/>
      <c r="I51" s="78"/>
      <c r="J51" s="78"/>
      <c r="K51" s="78"/>
    </row>
    <row r="52" spans="1:11" ht="14.25" x14ac:dyDescent="0.2">
      <c r="A52" s="90"/>
      <c r="B52" s="110"/>
      <c r="C52" s="115"/>
      <c r="D52" s="78"/>
      <c r="E52" s="78"/>
      <c r="F52" s="78"/>
      <c r="G52" s="78"/>
      <c r="H52" s="78"/>
      <c r="I52" s="78"/>
      <c r="J52" s="78"/>
      <c r="K52" s="78"/>
    </row>
    <row r="53" spans="1:11" ht="16.5" x14ac:dyDescent="0.2">
      <c r="A53" s="113"/>
      <c r="B53" s="78"/>
      <c r="C53" s="78"/>
      <c r="D53" s="78"/>
      <c r="E53" s="78"/>
      <c r="F53" s="78"/>
      <c r="G53" s="78"/>
      <c r="H53" s="78"/>
      <c r="I53" s="78"/>
      <c r="J53" s="78"/>
      <c r="K53" s="78"/>
    </row>
    <row r="54" spans="1:11" x14ac:dyDescent="0.2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</row>
    <row r="55" spans="1:11" x14ac:dyDescent="0.2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</row>
    <row r="56" spans="1:11" x14ac:dyDescent="0.2">
      <c r="A56" s="117"/>
      <c r="B56" s="78"/>
      <c r="C56" s="78"/>
      <c r="D56" s="78"/>
      <c r="E56" s="78"/>
      <c r="F56" s="78"/>
      <c r="G56" s="78"/>
      <c r="H56" s="78"/>
      <c r="I56" s="78"/>
      <c r="J56" s="78"/>
      <c r="K56" s="78"/>
    </row>
    <row r="57" spans="1:11" x14ac:dyDescent="0.2">
      <c r="A57" s="78"/>
      <c r="B57" s="78"/>
      <c r="C57" s="78"/>
      <c r="D57" s="78"/>
    </row>
    <row r="58" spans="1:11" x14ac:dyDescent="0.2">
      <c r="A58" s="78"/>
      <c r="B58" s="78"/>
      <c r="C58" s="78"/>
      <c r="D58" s="78"/>
    </row>
    <row r="59" spans="1:11" x14ac:dyDescent="0.2">
      <c r="A59" s="78"/>
      <c r="B59" s="78"/>
      <c r="C59" s="78"/>
      <c r="D59" s="78"/>
    </row>
    <row r="60" spans="1:11" x14ac:dyDescent="0.2">
      <c r="A60" s="78"/>
      <c r="B60" s="78"/>
      <c r="C60" s="78"/>
      <c r="D60" s="78"/>
    </row>
    <row r="61" spans="1:11" x14ac:dyDescent="0.2">
      <c r="A61" s="78"/>
      <c r="B61" s="78"/>
      <c r="C61" s="78"/>
      <c r="D61" s="78"/>
    </row>
    <row r="62" spans="1:11" x14ac:dyDescent="0.2">
      <c r="A62" s="78"/>
      <c r="B62" s="78"/>
      <c r="C62" s="78"/>
      <c r="D62" s="78"/>
    </row>
    <row r="63" spans="1:11" x14ac:dyDescent="0.2">
      <c r="A63" s="78"/>
      <c r="B63" s="78"/>
      <c r="C63" s="78"/>
      <c r="D63" s="78"/>
    </row>
    <row r="64" spans="1:11" x14ac:dyDescent="0.2">
      <c r="A64" s="78"/>
      <c r="B64" s="78"/>
      <c r="C64" s="78"/>
      <c r="D64" s="78"/>
    </row>
    <row r="65" spans="1:4" x14ac:dyDescent="0.2">
      <c r="A65" s="78"/>
      <c r="B65" s="78"/>
      <c r="C65" s="78"/>
      <c r="D65" s="78"/>
    </row>
  </sheetData>
  <mergeCells count="1">
    <mergeCell ref="A4:C4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B11" sqref="B11:C11"/>
    </sheetView>
  </sheetViews>
  <sheetFormatPr defaultColWidth="9.140625"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hidden="1" customWidth="1"/>
    <col min="5" max="5" width="13.7109375" style="1" hidden="1" customWidth="1"/>
    <col min="6" max="6" width="14.42578125" style="1" hidden="1" customWidth="1"/>
    <col min="7" max="7" width="12.7109375" style="1" hidden="1" customWidth="1"/>
    <col min="8" max="8" width="4.42578125" style="1" hidden="1" customWidth="1"/>
    <col min="9" max="9" width="6.85546875" style="1" hidden="1" customWidth="1"/>
    <col min="10" max="10" width="3.28515625" style="1" hidden="1" customWidth="1"/>
    <col min="11" max="11" width="0" style="1" hidden="1" customWidth="1"/>
    <col min="12" max="16384" width="9.140625" style="1"/>
  </cols>
  <sheetData>
    <row r="1" spans="1:3" x14ac:dyDescent="0.2">
      <c r="A1" s="51" t="s">
        <v>158</v>
      </c>
    </row>
    <row r="3" spans="1:3" x14ac:dyDescent="0.2">
      <c r="A3" s="1" t="s">
        <v>116</v>
      </c>
    </row>
    <row r="4" spans="1:3" x14ac:dyDescent="0.2">
      <c r="A4" s="164" t="s">
        <v>113</v>
      </c>
    </row>
    <row r="5" spans="1:3" ht="25.5" customHeight="1" x14ac:dyDescent="0.2">
      <c r="A5" s="413" t="s">
        <v>129</v>
      </c>
      <c r="B5" s="414"/>
      <c r="C5" s="414"/>
    </row>
    <row r="6" spans="1:3" x14ac:dyDescent="0.2">
      <c r="A6" s="1" t="s">
        <v>114</v>
      </c>
    </row>
    <row r="7" spans="1:3" ht="26.25" customHeight="1" x14ac:dyDescent="0.2">
      <c r="A7" s="413" t="s">
        <v>156</v>
      </c>
      <c r="B7" s="414"/>
      <c r="C7" s="414"/>
    </row>
    <row r="8" spans="1:3" x14ac:dyDescent="0.2">
      <c r="A8" s="1" t="s">
        <v>115</v>
      </c>
    </row>
    <row r="9" spans="1:3" x14ac:dyDescent="0.2">
      <c r="A9" s="1" t="s">
        <v>121</v>
      </c>
    </row>
    <row r="10" spans="1:3" ht="13.5" thickBot="1" x14ac:dyDescent="0.25"/>
    <row r="11" spans="1:3" ht="18" x14ac:dyDescent="0.25">
      <c r="B11" s="411" t="s">
        <v>223</v>
      </c>
      <c r="C11" s="412"/>
    </row>
    <row r="12" spans="1:3" x14ac:dyDescent="0.2">
      <c r="A12" s="78"/>
      <c r="B12" s="415" t="s">
        <v>146</v>
      </c>
      <c r="C12" s="416"/>
    </row>
    <row r="13" spans="1:3" ht="15" x14ac:dyDescent="0.25">
      <c r="A13" s="78"/>
      <c r="B13" s="79" t="s">
        <v>39</v>
      </c>
      <c r="C13" s="80">
        <v>9343</v>
      </c>
    </row>
    <row r="14" spans="1:3" ht="15" x14ac:dyDescent="0.25">
      <c r="A14" s="78"/>
      <c r="B14" s="81" t="s">
        <v>40</v>
      </c>
      <c r="C14" s="80">
        <v>6967</v>
      </c>
    </row>
    <row r="15" spans="1:3" ht="14.25" x14ac:dyDescent="0.2">
      <c r="A15" s="78"/>
      <c r="B15" s="119" t="s">
        <v>41</v>
      </c>
      <c r="C15" s="120">
        <v>156</v>
      </c>
    </row>
    <row r="16" spans="1:3" ht="14.25" x14ac:dyDescent="0.2">
      <c r="A16" s="78"/>
      <c r="B16" s="119" t="s">
        <v>42</v>
      </c>
      <c r="C16" s="120">
        <v>3467</v>
      </c>
    </row>
    <row r="17" spans="1:7" ht="14.25" x14ac:dyDescent="0.2">
      <c r="A17" s="78"/>
      <c r="B17" s="119" t="s">
        <v>43</v>
      </c>
      <c r="C17" s="120">
        <v>1601</v>
      </c>
    </row>
    <row r="18" spans="1:7" ht="14.25" x14ac:dyDescent="0.2">
      <c r="A18" s="78"/>
      <c r="B18" s="119" t="s">
        <v>44</v>
      </c>
      <c r="C18" s="120">
        <v>33</v>
      </c>
    </row>
    <row r="19" spans="1:7" ht="14.25" x14ac:dyDescent="0.2">
      <c r="A19" s="78"/>
      <c r="B19" s="119" t="s">
        <v>45</v>
      </c>
      <c r="C19" s="120">
        <v>1676</v>
      </c>
    </row>
    <row r="20" spans="1:7" ht="14.25" x14ac:dyDescent="0.2">
      <c r="A20" s="78"/>
      <c r="B20" s="119" t="s">
        <v>46</v>
      </c>
      <c r="C20" s="120">
        <v>2</v>
      </c>
    </row>
    <row r="21" spans="1:7" ht="14.25" x14ac:dyDescent="0.2">
      <c r="A21" s="78"/>
      <c r="B21" s="119" t="s">
        <v>47</v>
      </c>
      <c r="C21" s="120">
        <v>23</v>
      </c>
    </row>
    <row r="22" spans="1:7" ht="14.25" x14ac:dyDescent="0.2">
      <c r="A22" s="78"/>
      <c r="B22" s="121" t="s">
        <v>48</v>
      </c>
      <c r="C22" s="122">
        <v>0</v>
      </c>
    </row>
    <row r="23" spans="1:7" ht="15" x14ac:dyDescent="0.25">
      <c r="A23" s="78" t="s">
        <v>49</v>
      </c>
      <c r="B23" s="77" t="s">
        <v>50</v>
      </c>
      <c r="C23" s="118"/>
    </row>
    <row r="24" spans="1:7" ht="14.25" x14ac:dyDescent="0.2">
      <c r="A24" s="78"/>
      <c r="B24" s="123" t="s">
        <v>136</v>
      </c>
      <c r="C24" s="124">
        <v>14087</v>
      </c>
    </row>
    <row r="25" spans="1:7" ht="14.25" x14ac:dyDescent="0.2">
      <c r="A25" s="78"/>
      <c r="B25" s="119" t="s">
        <v>137</v>
      </c>
      <c r="C25" s="120">
        <v>16463</v>
      </c>
    </row>
    <row r="26" spans="1:7" ht="14.25" x14ac:dyDescent="0.2">
      <c r="B26" s="119" t="s">
        <v>138</v>
      </c>
      <c r="C26" s="120">
        <v>2376</v>
      </c>
    </row>
    <row r="27" spans="1:7" ht="14.25" x14ac:dyDescent="0.2">
      <c r="B27" s="125"/>
      <c r="C27" s="126"/>
    </row>
    <row r="28" spans="1:7" ht="15" x14ac:dyDescent="0.25">
      <c r="B28" s="82" t="s">
        <v>51</v>
      </c>
      <c r="C28" s="165">
        <f>MEDIAN(C13,C14)/MEDIAN(C24,C25)</f>
        <v>0.53387888707037645</v>
      </c>
      <c r="G28" s="1">
        <f>12/C28</f>
        <v>22.477007970570202</v>
      </c>
    </row>
    <row r="29" spans="1:7" ht="15" x14ac:dyDescent="0.25">
      <c r="B29" s="79" t="s">
        <v>52</v>
      </c>
      <c r="C29" s="165">
        <f>C16/MEDIAN(C24,C25)</f>
        <v>0.22697217675941081</v>
      </c>
    </row>
    <row r="30" spans="1:7" ht="15" x14ac:dyDescent="0.25">
      <c r="B30" s="84" t="s">
        <v>53</v>
      </c>
      <c r="C30" s="83">
        <v>360</v>
      </c>
    </row>
    <row r="31" spans="1:7" ht="15" x14ac:dyDescent="0.25">
      <c r="B31" s="79" t="s">
        <v>122</v>
      </c>
      <c r="C31" s="83">
        <v>10</v>
      </c>
    </row>
    <row r="32" spans="1:7" ht="15" x14ac:dyDescent="0.25">
      <c r="B32" s="79" t="s">
        <v>123</v>
      </c>
      <c r="C32" s="83">
        <v>30</v>
      </c>
      <c r="G32" s="1">
        <f>TRUNC(G37)</f>
        <v>10</v>
      </c>
    </row>
    <row r="33" spans="2:11" ht="15" x14ac:dyDescent="0.25">
      <c r="B33" s="79" t="s">
        <v>124</v>
      </c>
      <c r="C33" s="83">
        <v>30</v>
      </c>
    </row>
    <row r="34" spans="2:11" s="51" customFormat="1" ht="15" x14ac:dyDescent="0.25">
      <c r="B34" s="79" t="s">
        <v>54</v>
      </c>
      <c r="C34" s="127">
        <f>MEDIAN(C24,C25)</f>
        <v>15275</v>
      </c>
    </row>
    <row r="35" spans="2:11" s="51" customFormat="1" ht="15" x14ac:dyDescent="0.25">
      <c r="B35" s="79" t="s">
        <v>14</v>
      </c>
      <c r="C35" s="128">
        <v>0.08</v>
      </c>
      <c r="K35" s="51">
        <f>IF(C39&gt;12,C39-12,C39)</f>
        <v>10.477007970570202</v>
      </c>
    </row>
    <row r="36" spans="2:11" s="51" customFormat="1" ht="15" x14ac:dyDescent="0.25">
      <c r="B36" s="79" t="s">
        <v>55</v>
      </c>
      <c r="C36" s="128">
        <v>0.4</v>
      </c>
      <c r="K36" s="51" t="e">
        <f>IF(#REF!&gt;12,#REF!-12,#REF!)</f>
        <v>#REF!</v>
      </c>
    </row>
    <row r="37" spans="2:11" s="51" customFormat="1" ht="15" x14ac:dyDescent="0.25">
      <c r="B37" s="79" t="s">
        <v>56</v>
      </c>
      <c r="C37" s="166">
        <f>((1/C28)-TRUNC(E37))</f>
        <v>0.87308399754751687</v>
      </c>
      <c r="D37" s="51">
        <f>TRUNC(E37)</f>
        <v>1</v>
      </c>
      <c r="E37" s="51">
        <f>1/C28</f>
        <v>1.8730839975475169</v>
      </c>
      <c r="F37" s="51">
        <f>((1/C28)-TRUNC(E37))</f>
        <v>0.87308399754751687</v>
      </c>
      <c r="G37" s="51">
        <f>12*F37</f>
        <v>10.477007970570202</v>
      </c>
      <c r="K37" s="51" t="e">
        <f>IF(#REF!&gt;12,#REF!-12,#REF!)</f>
        <v>#REF!</v>
      </c>
    </row>
    <row r="38" spans="2:11" s="51" customFormat="1" ht="15" x14ac:dyDescent="0.25">
      <c r="B38" s="77" t="s">
        <v>57</v>
      </c>
      <c r="C38" s="85">
        <f>30+D38</f>
        <v>33</v>
      </c>
      <c r="D38" s="51">
        <f>3*D37</f>
        <v>3</v>
      </c>
      <c r="G38" s="51">
        <f>G37/12*40/360</f>
        <v>9.7009333060835201E-2</v>
      </c>
      <c r="K38" s="51" t="e">
        <f>IF(#REF!&gt;12,#REF!-12,#REF!)</f>
        <v>#REF!</v>
      </c>
    </row>
    <row r="39" spans="2:11" s="51" customFormat="1" ht="15.75" thickBot="1" x14ac:dyDescent="0.3">
      <c r="B39" s="86" t="s">
        <v>127</v>
      </c>
      <c r="C39" s="167">
        <f>12/C28</f>
        <v>22.477007970570202</v>
      </c>
      <c r="K39" s="51" t="e">
        <f>IF(#REF!&gt;12,#REF!-12,#REF!)</f>
        <v>#REF!</v>
      </c>
    </row>
    <row r="40" spans="2:11" x14ac:dyDescent="0.2">
      <c r="K40" s="1" t="e">
        <f t="shared" ref="K40:K41" si="0">IF(K39&gt;12,K39-12,K39)</f>
        <v>#REF!</v>
      </c>
    </row>
    <row r="41" spans="2:11" x14ac:dyDescent="0.2">
      <c r="K41" s="1" t="e">
        <f t="shared" si="0"/>
        <v>#REF!</v>
      </c>
    </row>
  </sheetData>
  <mergeCells count="4">
    <mergeCell ref="B11:C11"/>
    <mergeCell ref="A7:C7"/>
    <mergeCell ref="A5:C5"/>
    <mergeCell ref="B12:C12"/>
  </mergeCells>
  <pageMargins left="0.90551181102362199" right="0.51181102362204722" top="0.74803149606299213" bottom="0.74803149606299213" header="0.31496062992125984" footer="0.31496062992125984"/>
  <pageSetup paperSize="9" scale="98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6"/>
  <sheetViews>
    <sheetView workbookViewId="0">
      <selection activeCell="I25" sqref="I25"/>
    </sheetView>
  </sheetViews>
  <sheetFormatPr defaultRowHeight="12.75" x14ac:dyDescent="0.2"/>
  <cols>
    <col min="1" max="1" width="44.42578125" customWidth="1"/>
    <col min="2" max="2" width="9.140625" customWidth="1"/>
    <col min="3" max="3" width="22" customWidth="1"/>
    <col min="4" max="4" width="9.7109375" hidden="1" customWidth="1"/>
    <col min="5" max="5" width="8" style="59" hidden="1" customWidth="1"/>
    <col min="6" max="6" width="14.85546875" hidden="1" customWidth="1"/>
  </cols>
  <sheetData>
    <row r="1" spans="1:8" s="69" customFormat="1" ht="14.25" x14ac:dyDescent="0.2">
      <c r="A1" s="8" t="s">
        <v>111</v>
      </c>
      <c r="B1" s="67"/>
      <c r="C1" s="67"/>
      <c r="E1" s="70"/>
    </row>
    <row r="2" spans="1:8" s="69" customFormat="1" ht="14.25" x14ac:dyDescent="0.2">
      <c r="A2" s="66" t="s">
        <v>128</v>
      </c>
      <c r="B2" s="67"/>
      <c r="C2" s="67"/>
      <c r="E2" s="70"/>
    </row>
    <row r="3" spans="1:8" s="69" customFormat="1" ht="14.25" x14ac:dyDescent="0.2">
      <c r="A3" s="6" t="s">
        <v>112</v>
      </c>
      <c r="B3" s="67"/>
      <c r="C3" s="67"/>
      <c r="E3" s="70"/>
    </row>
    <row r="4" spans="1:8" s="69" customFormat="1" ht="14.25" x14ac:dyDescent="0.2">
      <c r="A4" s="66"/>
      <c r="B4" s="67"/>
      <c r="C4" s="67"/>
      <c r="E4" s="70"/>
    </row>
    <row r="5" spans="1:8" s="69" customFormat="1" ht="15" thickBot="1" x14ac:dyDescent="0.25">
      <c r="B5" s="67"/>
      <c r="C5" s="67"/>
      <c r="E5" s="70"/>
    </row>
    <row r="6" spans="1:8" ht="16.5" thickBot="1" x14ac:dyDescent="0.25">
      <c r="A6" s="424" t="s">
        <v>196</v>
      </c>
      <c r="B6" s="425"/>
      <c r="C6" s="425"/>
      <c r="D6" s="425"/>
      <c r="E6" s="425"/>
      <c r="F6" s="426"/>
    </row>
    <row r="7" spans="1:8" ht="15" x14ac:dyDescent="0.25">
      <c r="A7" s="129"/>
      <c r="B7" s="68"/>
      <c r="C7" s="68"/>
      <c r="D7" s="421" t="s">
        <v>125</v>
      </c>
      <c r="E7" s="422"/>
      <c r="F7" s="423"/>
      <c r="G7" s="69"/>
      <c r="H7" s="69"/>
    </row>
    <row r="8" spans="1:8" ht="15" thickBot="1" x14ac:dyDescent="0.25">
      <c r="A8" s="125"/>
      <c r="B8" s="130"/>
      <c r="C8" s="130"/>
      <c r="D8" s="131" t="s">
        <v>152</v>
      </c>
      <c r="E8" s="132" t="s">
        <v>106</v>
      </c>
      <c r="F8" s="133" t="s">
        <v>195</v>
      </c>
      <c r="G8" s="69"/>
      <c r="H8" s="69"/>
    </row>
    <row r="9" spans="1:8" ht="14.25" x14ac:dyDescent="0.2">
      <c r="A9" s="134" t="s">
        <v>24</v>
      </c>
      <c r="B9" s="135" t="s">
        <v>25</v>
      </c>
      <c r="C9" s="136">
        <v>0.04</v>
      </c>
      <c r="D9" s="154">
        <v>2.9700000000000001E-2</v>
      </c>
      <c r="E9" s="155">
        <v>5.0799999999999998E-2</v>
      </c>
      <c r="F9" s="156">
        <v>6.2700000000000006E-2</v>
      </c>
      <c r="G9" s="69"/>
      <c r="H9" s="69"/>
    </row>
    <row r="10" spans="1:8" ht="14.25" x14ac:dyDescent="0.2">
      <c r="A10" s="138" t="s">
        <v>26</v>
      </c>
      <c r="B10" s="139" t="s">
        <v>27</v>
      </c>
      <c r="C10" s="140">
        <v>8.6E-3</v>
      </c>
      <c r="D10" s="154">
        <v>8.6E-3</v>
      </c>
      <c r="E10" s="155">
        <f>0.48%+0.85%</f>
        <v>1.3299999999999999E-2</v>
      </c>
      <c r="F10" s="156">
        <f>0.82%+0.89%</f>
        <v>1.7099999999999997E-2</v>
      </c>
      <c r="G10" s="69"/>
      <c r="H10" s="69"/>
    </row>
    <row r="11" spans="1:8" ht="14.25" x14ac:dyDescent="0.2">
      <c r="A11" s="138" t="s">
        <v>28</v>
      </c>
      <c r="B11" s="139" t="s">
        <v>29</v>
      </c>
      <c r="C11" s="140">
        <v>7.0000000000000007E-2</v>
      </c>
      <c r="D11" s="154">
        <v>7.8E-2</v>
      </c>
      <c r="E11" s="155">
        <v>0.1085</v>
      </c>
      <c r="F11" s="156">
        <v>0.13550000000000001</v>
      </c>
      <c r="G11" s="69"/>
      <c r="H11" s="69"/>
    </row>
    <row r="12" spans="1:8" ht="14.25" x14ac:dyDescent="0.2">
      <c r="A12" s="138" t="s">
        <v>30</v>
      </c>
      <c r="B12" s="139" t="s">
        <v>31</v>
      </c>
      <c r="C12" s="140">
        <v>1.6000000000000001E-3</v>
      </c>
      <c r="D12" s="154" t="s">
        <v>153</v>
      </c>
      <c r="E12" s="141">
        <v>0.11749999999999999</v>
      </c>
      <c r="F12" s="137"/>
      <c r="G12" s="69"/>
      <c r="H12" s="69"/>
    </row>
    <row r="13" spans="1:8" ht="14.25" x14ac:dyDescent="0.2">
      <c r="A13" s="138" t="s">
        <v>32</v>
      </c>
      <c r="B13" s="419" t="s">
        <v>33</v>
      </c>
      <c r="C13" s="140">
        <v>0.03</v>
      </c>
      <c r="D13" s="168" t="s">
        <v>107</v>
      </c>
      <c r="E13" s="145">
        <v>5</v>
      </c>
      <c r="F13" s="142"/>
      <c r="G13" s="69"/>
      <c r="H13" s="69"/>
    </row>
    <row r="14" spans="1:8" ht="15" thickBot="1" x14ac:dyDescent="0.25">
      <c r="A14" s="143" t="s">
        <v>34</v>
      </c>
      <c r="B14" s="420"/>
      <c r="C14" s="144">
        <v>3.6499999999999998E-2</v>
      </c>
      <c r="D14" s="119"/>
      <c r="E14" s="188"/>
      <c r="F14" s="142"/>
      <c r="G14" s="69"/>
      <c r="H14" s="69"/>
    </row>
    <row r="15" spans="1:8" ht="14.25" x14ac:dyDescent="0.2">
      <c r="A15" s="146" t="s">
        <v>35</v>
      </c>
      <c r="B15" s="147"/>
      <c r="C15" s="148"/>
      <c r="D15" s="119"/>
      <c r="E15" s="145"/>
      <c r="F15" s="142"/>
      <c r="G15" s="69"/>
      <c r="H15" s="69"/>
    </row>
    <row r="16" spans="1:8" ht="15" thickBot="1" x14ac:dyDescent="0.25">
      <c r="A16" s="149" t="s">
        <v>36</v>
      </c>
      <c r="B16" s="150"/>
      <c r="C16" s="151"/>
      <c r="D16" s="119"/>
      <c r="E16" s="145"/>
      <c r="F16" s="142"/>
      <c r="G16" s="69"/>
      <c r="H16" s="69"/>
    </row>
    <row r="17" spans="1:8" ht="15.75" thickBot="1" x14ac:dyDescent="0.25">
      <c r="A17" s="152" t="s">
        <v>37</v>
      </c>
      <c r="B17" s="153"/>
      <c r="C17" s="308">
        <f>ROUND((((1+C9+C10)*(1+C11)*(1+C12))/(1-(C13+C14))-1),4)</f>
        <v>0.2039</v>
      </c>
      <c r="D17" s="157"/>
      <c r="E17" s="158"/>
      <c r="F17" s="159"/>
      <c r="G17" s="69"/>
      <c r="H17" s="69"/>
    </row>
    <row r="18" spans="1:8" ht="14.25" x14ac:dyDescent="0.2">
      <c r="A18" s="69"/>
      <c r="B18" s="69"/>
      <c r="C18" s="69"/>
      <c r="D18" s="69"/>
      <c r="E18" s="70"/>
      <c r="F18" s="69"/>
      <c r="G18" s="69"/>
      <c r="H18" s="69"/>
    </row>
    <row r="19" spans="1:8" ht="14.25" x14ac:dyDescent="0.2">
      <c r="A19" s="418" t="s">
        <v>139</v>
      </c>
      <c r="B19" s="418"/>
      <c r="C19" s="418"/>
      <c r="D19" s="418"/>
      <c r="E19" s="418"/>
      <c r="F19" s="418"/>
      <c r="G19" s="69"/>
      <c r="H19" s="69"/>
    </row>
    <row r="20" spans="1:8" ht="14.25" x14ac:dyDescent="0.2">
      <c r="A20" s="418" t="s">
        <v>140</v>
      </c>
      <c r="B20" s="418"/>
      <c r="C20" s="418"/>
      <c r="D20" s="418"/>
      <c r="E20" s="418"/>
      <c r="F20" s="418"/>
      <c r="G20" s="69"/>
      <c r="H20" s="69"/>
    </row>
    <row r="21" spans="1:8" ht="14.25" x14ac:dyDescent="0.2">
      <c r="A21" s="418" t="s">
        <v>141</v>
      </c>
      <c r="B21" s="418"/>
      <c r="C21" s="418"/>
      <c r="D21" s="418"/>
      <c r="E21" s="418"/>
      <c r="F21" s="418"/>
      <c r="G21" s="69"/>
      <c r="H21" s="69"/>
    </row>
    <row r="22" spans="1:8" ht="14.25" x14ac:dyDescent="0.2">
      <c r="A22" s="418" t="s">
        <v>142</v>
      </c>
      <c r="B22" s="418"/>
      <c r="C22" s="418"/>
      <c r="D22" s="418"/>
      <c r="E22" s="418"/>
      <c r="F22" s="418"/>
    </row>
    <row r="23" spans="1:8" ht="14.25" x14ac:dyDescent="0.2">
      <c r="A23" s="418" t="s">
        <v>143</v>
      </c>
      <c r="B23" s="418"/>
      <c r="C23" s="418"/>
      <c r="D23" s="418"/>
      <c r="E23" s="418"/>
      <c r="F23" s="418"/>
    </row>
    <row r="24" spans="1:8" ht="14.25" x14ac:dyDescent="0.2">
      <c r="A24" s="418" t="s">
        <v>144</v>
      </c>
      <c r="B24" s="418"/>
      <c r="C24" s="418"/>
      <c r="D24" s="418"/>
      <c r="E24" s="418"/>
      <c r="F24" s="418"/>
    </row>
    <row r="25" spans="1:8" ht="14.25" x14ac:dyDescent="0.2">
      <c r="A25" s="418" t="s">
        <v>145</v>
      </c>
      <c r="B25" s="418"/>
      <c r="C25" s="418"/>
      <c r="D25" s="418"/>
      <c r="E25" s="418"/>
      <c r="F25" s="418"/>
    </row>
    <row r="26" spans="1:8" ht="14.25" x14ac:dyDescent="0.2">
      <c r="A26" s="417"/>
      <c r="B26" s="417"/>
      <c r="C26" s="417"/>
      <c r="D26" s="417"/>
      <c r="E26" s="417"/>
      <c r="F26" s="417"/>
    </row>
  </sheetData>
  <mergeCells count="11">
    <mergeCell ref="B13:B14"/>
    <mergeCell ref="D7:F7"/>
    <mergeCell ref="A6:F6"/>
    <mergeCell ref="A19:F19"/>
    <mergeCell ref="A20:F20"/>
    <mergeCell ref="A26:F26"/>
    <mergeCell ref="A21:F21"/>
    <mergeCell ref="A22:F22"/>
    <mergeCell ref="A23:F23"/>
    <mergeCell ref="A24:F24"/>
    <mergeCell ref="A25:F25"/>
  </mergeCells>
  <pageMargins left="0.90551181102362199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workbookViewId="0">
      <selection activeCell="A2" sqref="A2:C2"/>
    </sheetView>
  </sheetViews>
  <sheetFormatPr defaultColWidth="8.85546875" defaultRowHeight="15" x14ac:dyDescent="0.25"/>
  <cols>
    <col min="1" max="1" width="8.85546875" style="248"/>
    <col min="2" max="2" width="29.28515625" style="248" customWidth="1"/>
    <col min="3" max="3" width="14.7109375" style="248" bestFit="1" customWidth="1"/>
    <col min="4" max="4" width="8" style="248" bestFit="1" customWidth="1"/>
    <col min="5" max="5" width="5.5703125" style="248" bestFit="1" customWidth="1"/>
    <col min="6" max="6" width="10.42578125" style="248" bestFit="1" customWidth="1"/>
    <col min="7" max="16384" width="8.85546875" style="248"/>
  </cols>
  <sheetData>
    <row r="1" spans="1:12" ht="15.75" x14ac:dyDescent="0.25">
      <c r="A1" s="247" t="s">
        <v>228</v>
      </c>
    </row>
    <row r="2" spans="1:12" x14ac:dyDescent="0.25">
      <c r="A2" s="249" t="s">
        <v>225</v>
      </c>
    </row>
    <row r="3" spans="1:12" x14ac:dyDescent="0.25">
      <c r="A3" s="249" t="s">
        <v>338</v>
      </c>
    </row>
    <row r="4" spans="1:12" x14ac:dyDescent="0.25">
      <c r="A4" s="250" t="s">
        <v>159</v>
      </c>
      <c r="B4" s="250" t="s">
        <v>160</v>
      </c>
      <c r="C4" s="250" t="s">
        <v>161</v>
      </c>
      <c r="D4" s="250" t="s">
        <v>162</v>
      </c>
      <c r="E4" s="250" t="s">
        <v>163</v>
      </c>
      <c r="F4" s="250" t="s">
        <v>164</v>
      </c>
    </row>
    <row r="5" spans="1:12" x14ac:dyDescent="0.25">
      <c r="A5" s="251">
        <v>50</v>
      </c>
      <c r="B5" s="250" t="s">
        <v>333</v>
      </c>
      <c r="C5" s="250" t="s">
        <v>174</v>
      </c>
      <c r="D5" s="252">
        <v>0.3125</v>
      </c>
      <c r="E5" s="252">
        <v>0.72916666666666663</v>
      </c>
      <c r="F5" s="252">
        <v>0.33333333333333331</v>
      </c>
    </row>
    <row r="6" spans="1:12" x14ac:dyDescent="0.25">
      <c r="A6" s="251">
        <v>10</v>
      </c>
      <c r="B6" s="250" t="s">
        <v>334</v>
      </c>
      <c r="C6" s="250" t="s">
        <v>174</v>
      </c>
      <c r="D6" s="252">
        <v>0.3125</v>
      </c>
      <c r="E6" s="252">
        <v>0.72916666666666663</v>
      </c>
      <c r="F6" s="252">
        <v>0.33333333333333331</v>
      </c>
    </row>
    <row r="7" spans="1:12" x14ac:dyDescent="0.25">
      <c r="A7" s="251">
        <v>50</v>
      </c>
      <c r="B7" s="250" t="s">
        <v>333</v>
      </c>
      <c r="C7" s="250" t="s">
        <v>335</v>
      </c>
      <c r="D7" s="252">
        <v>0.3125</v>
      </c>
      <c r="E7" s="252">
        <v>0.47916666666666669</v>
      </c>
      <c r="F7" s="252">
        <v>0.16666666666666666</v>
      </c>
    </row>
    <row r="8" spans="1:12" x14ac:dyDescent="0.25">
      <c r="A8" s="251">
        <v>10</v>
      </c>
      <c r="B8" s="250" t="s">
        <v>334</v>
      </c>
      <c r="C8" s="250" t="s">
        <v>335</v>
      </c>
      <c r="D8" s="252">
        <v>0.3125</v>
      </c>
      <c r="E8" s="252">
        <v>0.47916666666666669</v>
      </c>
      <c r="F8" s="252">
        <v>0.16666666666666666</v>
      </c>
    </row>
    <row r="9" spans="1:12" x14ac:dyDescent="0.25">
      <c r="A9" s="251">
        <v>2</v>
      </c>
      <c r="B9" s="250" t="s">
        <v>337</v>
      </c>
      <c r="C9" s="250" t="s">
        <v>174</v>
      </c>
      <c r="D9" s="252">
        <v>0.3125</v>
      </c>
      <c r="E9" s="252">
        <v>0.72916666666666663</v>
      </c>
      <c r="F9" s="252">
        <v>0.33333333333333331</v>
      </c>
    </row>
    <row r="10" spans="1:12" x14ac:dyDescent="0.25">
      <c r="A10" s="251">
        <v>2</v>
      </c>
      <c r="B10" s="250" t="s">
        <v>337</v>
      </c>
      <c r="C10" s="250" t="s">
        <v>335</v>
      </c>
      <c r="D10" s="252">
        <v>0.3125</v>
      </c>
      <c r="E10" s="252">
        <v>0.47916666666666669</v>
      </c>
      <c r="F10" s="252">
        <v>0.16666666666666666</v>
      </c>
    </row>
    <row r="11" spans="1:12" x14ac:dyDescent="0.25">
      <c r="A11" s="350" t="s">
        <v>336</v>
      </c>
      <c r="B11" s="348"/>
      <c r="C11" s="348"/>
      <c r="D11" s="349"/>
      <c r="E11" s="349"/>
      <c r="F11" s="349"/>
    </row>
    <row r="12" spans="1:12" x14ac:dyDescent="0.25">
      <c r="H12" s="253"/>
      <c r="I12" s="253"/>
      <c r="L12" s="253"/>
    </row>
    <row r="13" spans="1:12" x14ac:dyDescent="0.25">
      <c r="A13" s="249" t="s">
        <v>224</v>
      </c>
      <c r="H13" s="254"/>
    </row>
    <row r="14" spans="1:12" x14ac:dyDescent="0.25">
      <c r="A14" s="255" t="s">
        <v>175</v>
      </c>
      <c r="B14" s="256"/>
      <c r="C14" s="256"/>
      <c r="D14" s="256"/>
      <c r="E14" s="256"/>
      <c r="F14" s="257">
        <v>8.8000000000000007</v>
      </c>
      <c r="H14" s="266"/>
    </row>
    <row r="15" spans="1:12" x14ac:dyDescent="0.25">
      <c r="A15" s="258" t="s">
        <v>165</v>
      </c>
      <c r="B15" s="256"/>
      <c r="C15" s="256"/>
      <c r="D15" s="256"/>
      <c r="E15" s="256"/>
      <c r="F15" s="259">
        <v>5</v>
      </c>
    </row>
    <row r="16" spans="1:12" x14ac:dyDescent="0.25">
      <c r="A16" s="255" t="s">
        <v>166</v>
      </c>
      <c r="B16" s="256"/>
      <c r="C16" s="256"/>
      <c r="D16" s="256"/>
      <c r="E16" s="256"/>
      <c r="F16" s="257">
        <f>F14*F15</f>
        <v>44</v>
      </c>
    </row>
    <row r="17" spans="1:6" x14ac:dyDescent="0.25">
      <c r="A17" s="255" t="s">
        <v>167</v>
      </c>
      <c r="B17" s="256"/>
      <c r="C17" s="256"/>
      <c r="D17" s="256"/>
      <c r="E17" s="256"/>
      <c r="F17" s="259">
        <v>6</v>
      </c>
    </row>
    <row r="18" spans="1:6" x14ac:dyDescent="0.25">
      <c r="A18" s="255" t="s">
        <v>168</v>
      </c>
      <c r="B18" s="256"/>
      <c r="C18" s="256"/>
      <c r="D18" s="256"/>
      <c r="E18" s="256"/>
      <c r="F18" s="259">
        <v>7</v>
      </c>
    </row>
    <row r="19" spans="1:6" x14ac:dyDescent="0.25">
      <c r="A19" s="255" t="s">
        <v>169</v>
      </c>
      <c r="B19" s="256"/>
      <c r="C19" s="256"/>
      <c r="D19" s="256"/>
      <c r="E19" s="256"/>
      <c r="F19" s="257">
        <f>F16/F17</f>
        <v>7.333333333333333</v>
      </c>
    </row>
    <row r="20" spans="1:6" x14ac:dyDescent="0.25">
      <c r="A20" s="255" t="s">
        <v>170</v>
      </c>
      <c r="B20" s="256"/>
      <c r="C20" s="256"/>
      <c r="D20" s="256"/>
      <c r="E20" s="256"/>
      <c r="F20" s="259">
        <v>30</v>
      </c>
    </row>
    <row r="21" spans="1:6" x14ac:dyDescent="0.25">
      <c r="A21" s="260" t="s">
        <v>171</v>
      </c>
      <c r="B21" s="261"/>
      <c r="C21" s="261"/>
      <c r="D21" s="261"/>
      <c r="E21" s="261"/>
      <c r="F21" s="262">
        <f>F19*F20</f>
        <v>220</v>
      </c>
    </row>
    <row r="22" spans="1:6" x14ac:dyDescent="0.25">
      <c r="A22" s="260" t="s">
        <v>172</v>
      </c>
      <c r="B22" s="261"/>
      <c r="C22" s="261"/>
      <c r="D22" s="261"/>
      <c r="E22" s="261"/>
      <c r="F22" s="250">
        <v>220</v>
      </c>
    </row>
    <row r="23" spans="1:6" x14ac:dyDescent="0.25">
      <c r="A23" s="260" t="s">
        <v>173</v>
      </c>
      <c r="B23" s="261"/>
      <c r="C23" s="261"/>
      <c r="D23" s="261"/>
      <c r="E23" s="261"/>
      <c r="F23" s="263">
        <f>F21/F22</f>
        <v>1</v>
      </c>
    </row>
  </sheetData>
  <pageMargins left="0.51181102362204722" right="0.51181102362204722" top="0.78740157480314965" bottom="0.78740157480314965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I46" sqref="I46"/>
    </sheetView>
  </sheetViews>
  <sheetFormatPr defaultRowHeight="12.75" x14ac:dyDescent="0.2"/>
  <cols>
    <col min="1" max="1" width="30.7109375" customWidth="1"/>
    <col min="4" max="4" width="2.28515625" customWidth="1"/>
    <col min="5" max="5" width="16.28515625" customWidth="1"/>
    <col min="6" max="6" width="11" bestFit="1" customWidth="1"/>
  </cols>
  <sheetData>
    <row r="2" spans="1:6" ht="15" x14ac:dyDescent="0.2">
      <c r="A2" s="435" t="s">
        <v>312</v>
      </c>
      <c r="B2" s="436"/>
      <c r="C2" s="436"/>
      <c r="D2" s="436"/>
      <c r="E2" s="436"/>
      <c r="F2" s="437"/>
    </row>
    <row r="3" spans="1:6" ht="30" x14ac:dyDescent="0.2">
      <c r="A3" s="364" t="s">
        <v>261</v>
      </c>
      <c r="B3" s="365" t="s">
        <v>263</v>
      </c>
      <c r="C3" s="364" t="s">
        <v>260</v>
      </c>
      <c r="D3" s="440" t="s">
        <v>262</v>
      </c>
      <c r="E3" s="441"/>
      <c r="F3" s="365" t="s">
        <v>311</v>
      </c>
    </row>
    <row r="4" spans="1:6" ht="14.25" x14ac:dyDescent="0.2">
      <c r="A4" s="360" t="s">
        <v>248</v>
      </c>
      <c r="B4" s="361">
        <v>1</v>
      </c>
      <c r="C4" s="362">
        <v>12</v>
      </c>
      <c r="D4" s="438">
        <v>200</v>
      </c>
      <c r="E4" s="439"/>
      <c r="F4" s="363">
        <f t="shared" ref="F4:F7" si="0">B4*D4</f>
        <v>200</v>
      </c>
    </row>
    <row r="5" spans="1:6" ht="13.9" customHeight="1" x14ac:dyDescent="0.2">
      <c r="A5" s="355" t="s">
        <v>249</v>
      </c>
      <c r="B5" s="356">
        <v>10</v>
      </c>
      <c r="C5" s="359">
        <v>12</v>
      </c>
      <c r="D5" s="427" t="s">
        <v>250</v>
      </c>
      <c r="E5" s="428"/>
      <c r="F5" s="357">
        <f t="shared" si="0"/>
        <v>139</v>
      </c>
    </row>
    <row r="6" spans="1:6" ht="13.9" customHeight="1" x14ac:dyDescent="0.2">
      <c r="A6" s="355" t="s">
        <v>251</v>
      </c>
      <c r="B6" s="356">
        <v>15</v>
      </c>
      <c r="C6" s="359">
        <v>12</v>
      </c>
      <c r="D6" s="427" t="s">
        <v>252</v>
      </c>
      <c r="E6" s="428"/>
      <c r="F6" s="357">
        <f t="shared" si="0"/>
        <v>525</v>
      </c>
    </row>
    <row r="7" spans="1:6" ht="13.9" customHeight="1" x14ac:dyDescent="0.2">
      <c r="A7" s="355" t="s">
        <v>253</v>
      </c>
      <c r="B7" s="356">
        <v>10</v>
      </c>
      <c r="C7" s="359">
        <v>12</v>
      </c>
      <c r="D7" s="427" t="s">
        <v>254</v>
      </c>
      <c r="E7" s="428"/>
      <c r="F7" s="357">
        <f t="shared" si="0"/>
        <v>380</v>
      </c>
    </row>
    <row r="8" spans="1:6" ht="13.9" customHeight="1" x14ac:dyDescent="0.2">
      <c r="A8" s="355" t="s">
        <v>255</v>
      </c>
      <c r="B8" s="356">
        <f>50*4</f>
        <v>200</v>
      </c>
      <c r="C8" s="359">
        <v>3</v>
      </c>
      <c r="D8" s="427" t="s">
        <v>256</v>
      </c>
      <c r="E8" s="428"/>
      <c r="F8" s="357">
        <f t="shared" ref="F8:F16" si="1">B8*D8</f>
        <v>3360</v>
      </c>
    </row>
    <row r="9" spans="1:6" ht="14.25" x14ac:dyDescent="0.2">
      <c r="A9" s="355" t="s">
        <v>257</v>
      </c>
      <c r="B9" s="356">
        <v>5</v>
      </c>
      <c r="C9" s="359">
        <v>24</v>
      </c>
      <c r="D9" s="427">
        <v>200</v>
      </c>
      <c r="E9" s="428"/>
      <c r="F9" s="357">
        <f t="shared" si="1"/>
        <v>1000</v>
      </c>
    </row>
    <row r="10" spans="1:6" ht="14.25" x14ac:dyDescent="0.2">
      <c r="A10" s="355" t="s">
        <v>327</v>
      </c>
      <c r="B10" s="356">
        <v>20</v>
      </c>
      <c r="C10" s="359">
        <v>24</v>
      </c>
      <c r="D10" s="427">
        <v>450</v>
      </c>
      <c r="E10" s="428"/>
      <c r="F10" s="357">
        <f t="shared" si="1"/>
        <v>9000</v>
      </c>
    </row>
    <row r="11" spans="1:6" ht="13.9" customHeight="1" x14ac:dyDescent="0.2">
      <c r="A11" s="355" t="s">
        <v>328</v>
      </c>
      <c r="B11" s="356">
        <v>36</v>
      </c>
      <c r="C11" s="359">
        <v>3</v>
      </c>
      <c r="D11" s="427" t="s">
        <v>256</v>
      </c>
      <c r="E11" s="428"/>
      <c r="F11" s="357">
        <f t="shared" si="1"/>
        <v>604.80000000000007</v>
      </c>
    </row>
    <row r="12" spans="1:6" ht="13.9" customHeight="1" x14ac:dyDescent="0.2">
      <c r="A12" s="355" t="s">
        <v>329</v>
      </c>
      <c r="B12" s="356">
        <v>10</v>
      </c>
      <c r="C12" s="359">
        <v>12</v>
      </c>
      <c r="D12" s="427">
        <v>45</v>
      </c>
      <c r="E12" s="428"/>
      <c r="F12" s="357">
        <f t="shared" si="1"/>
        <v>450</v>
      </c>
    </row>
    <row r="13" spans="1:6" ht="13.9" customHeight="1" x14ac:dyDescent="0.2">
      <c r="A13" s="355" t="s">
        <v>330</v>
      </c>
      <c r="B13" s="356">
        <v>10</v>
      </c>
      <c r="C13" s="359">
        <v>12</v>
      </c>
      <c r="D13" s="427">
        <v>60</v>
      </c>
      <c r="E13" s="428"/>
      <c r="F13" s="357">
        <f t="shared" si="1"/>
        <v>600</v>
      </c>
    </row>
    <row r="14" spans="1:6" ht="13.9" customHeight="1" x14ac:dyDescent="0.2">
      <c r="A14" s="355" t="s">
        <v>331</v>
      </c>
      <c r="B14" s="356">
        <v>3</v>
      </c>
      <c r="C14" s="359">
        <v>12</v>
      </c>
      <c r="D14" s="427">
        <v>60</v>
      </c>
      <c r="E14" s="428"/>
      <c r="F14" s="357">
        <f t="shared" si="1"/>
        <v>180</v>
      </c>
    </row>
    <row r="15" spans="1:6" ht="13.9" customHeight="1" x14ac:dyDescent="0.2">
      <c r="A15" s="355" t="s">
        <v>332</v>
      </c>
      <c r="B15" s="356">
        <v>10</v>
      </c>
      <c r="C15" s="359">
        <v>12</v>
      </c>
      <c r="D15" s="427">
        <v>13</v>
      </c>
      <c r="E15" s="428"/>
      <c r="F15" s="357">
        <f t="shared" si="1"/>
        <v>130</v>
      </c>
    </row>
    <row r="16" spans="1:6" ht="14.25" x14ac:dyDescent="0.2">
      <c r="A16" s="355"/>
      <c r="B16" s="356"/>
      <c r="C16" s="359"/>
      <c r="D16" s="427"/>
      <c r="E16" s="428"/>
      <c r="F16" s="357">
        <f t="shared" si="1"/>
        <v>0</v>
      </c>
    </row>
    <row r="17" spans="1:6" ht="15" x14ac:dyDescent="0.2">
      <c r="A17" s="429" t="s">
        <v>259</v>
      </c>
      <c r="B17" s="430"/>
      <c r="C17" s="430"/>
      <c r="D17" s="430"/>
      <c r="E17" s="431"/>
      <c r="F17" s="357">
        <f>SUM(F4:F16)</f>
        <v>16568.8</v>
      </c>
    </row>
    <row r="18" spans="1:6" ht="15" x14ac:dyDescent="0.2">
      <c r="A18" s="432" t="s">
        <v>310</v>
      </c>
      <c r="B18" s="433"/>
      <c r="C18" s="433"/>
      <c r="D18" s="433"/>
      <c r="E18" s="434"/>
      <c r="F18" s="358">
        <f>F17/12</f>
        <v>1380.7333333333333</v>
      </c>
    </row>
  </sheetData>
  <mergeCells count="17">
    <mergeCell ref="A2:F2"/>
    <mergeCell ref="D4:E4"/>
    <mergeCell ref="D5:E5"/>
    <mergeCell ref="D6:E6"/>
    <mergeCell ref="D7:E7"/>
    <mergeCell ref="D3:E3"/>
    <mergeCell ref="D15:E15"/>
    <mergeCell ref="D8:E8"/>
    <mergeCell ref="D16:E16"/>
    <mergeCell ref="A17:E17"/>
    <mergeCell ref="A18:E18"/>
    <mergeCell ref="D9:E9"/>
    <mergeCell ref="D10:E10"/>
    <mergeCell ref="D11:E11"/>
    <mergeCell ref="D12:E12"/>
    <mergeCell ref="D13:E13"/>
    <mergeCell ref="D14:E1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showGridLines="0" topLeftCell="A37" workbookViewId="0">
      <selection activeCell="E25" sqref="E25"/>
    </sheetView>
  </sheetViews>
  <sheetFormatPr defaultColWidth="8.85546875" defaultRowHeight="15" x14ac:dyDescent="0.25"/>
  <cols>
    <col min="1" max="1" width="35.5703125" style="367" bestFit="1" customWidth="1"/>
    <col min="2" max="2" width="31.7109375" style="367" bestFit="1" customWidth="1"/>
    <col min="3" max="3" width="12.42578125" style="367" bestFit="1" customWidth="1"/>
    <col min="4" max="4" width="13.85546875" style="367" bestFit="1" customWidth="1"/>
    <col min="5" max="5" width="13.28515625" style="367" bestFit="1" customWidth="1"/>
    <col min="6" max="6" width="12.7109375" style="367" bestFit="1" customWidth="1"/>
    <col min="7" max="16384" width="8.85546875" style="367"/>
  </cols>
  <sheetData>
    <row r="1" spans="1:6" x14ac:dyDescent="0.25">
      <c r="A1" s="366" t="s">
        <v>264</v>
      </c>
    </row>
    <row r="2" spans="1:6" x14ac:dyDescent="0.25">
      <c r="A2" s="366" t="s">
        <v>265</v>
      </c>
    </row>
    <row r="3" spans="1:6" x14ac:dyDescent="0.25">
      <c r="A3" s="366" t="s">
        <v>266</v>
      </c>
    </row>
    <row r="4" spans="1:6" x14ac:dyDescent="0.25">
      <c r="A4" s="366"/>
    </row>
    <row r="5" spans="1:6" ht="14.45" customHeight="1" x14ac:dyDescent="0.25">
      <c r="A5" s="444" t="s">
        <v>267</v>
      </c>
      <c r="B5" s="444"/>
      <c r="C5" s="444"/>
      <c r="D5" s="444"/>
    </row>
    <row r="6" spans="1:6" x14ac:dyDescent="0.25">
      <c r="A6" s="368" t="s">
        <v>268</v>
      </c>
    </row>
    <row r="7" spans="1:6" x14ac:dyDescent="0.25">
      <c r="A7" s="368" t="s">
        <v>269</v>
      </c>
    </row>
    <row r="9" spans="1:6" ht="14.45" customHeight="1" x14ac:dyDescent="0.25">
      <c r="A9" s="445" t="s">
        <v>270</v>
      </c>
      <c r="B9" s="446"/>
      <c r="C9" s="446"/>
      <c r="D9" s="446"/>
      <c r="E9" s="446"/>
      <c r="F9" s="447"/>
    </row>
    <row r="10" spans="1:6" ht="30" x14ac:dyDescent="0.25">
      <c r="A10" s="369" t="s">
        <v>271</v>
      </c>
      <c r="B10" s="369" t="s">
        <v>272</v>
      </c>
      <c r="C10" s="369" t="s">
        <v>273</v>
      </c>
      <c r="D10" s="370" t="s">
        <v>274</v>
      </c>
      <c r="E10" s="370" t="s">
        <v>275</v>
      </c>
      <c r="F10" s="370" t="s">
        <v>276</v>
      </c>
    </row>
    <row r="11" spans="1:6" ht="30" x14ac:dyDescent="0.25">
      <c r="A11" s="371" t="s">
        <v>277</v>
      </c>
      <c r="B11" s="371" t="s">
        <v>278</v>
      </c>
      <c r="C11" s="372" t="s">
        <v>279</v>
      </c>
      <c r="D11" s="373" t="s">
        <v>280</v>
      </c>
      <c r="E11" s="373">
        <v>6.9690000000000003</v>
      </c>
      <c r="F11" s="374">
        <v>44678</v>
      </c>
    </row>
    <row r="12" spans="1:6" ht="30" x14ac:dyDescent="0.25">
      <c r="A12" s="371" t="s">
        <v>281</v>
      </c>
      <c r="B12" s="371" t="s">
        <v>282</v>
      </c>
      <c r="C12" s="372" t="s">
        <v>283</v>
      </c>
      <c r="D12" s="373" t="s">
        <v>280</v>
      </c>
      <c r="E12" s="373">
        <v>6.9989999999999997</v>
      </c>
      <c r="F12" s="374">
        <v>44678</v>
      </c>
    </row>
    <row r="13" spans="1:6" ht="30" x14ac:dyDescent="0.25">
      <c r="A13" s="371" t="s">
        <v>284</v>
      </c>
      <c r="B13" s="371" t="s">
        <v>285</v>
      </c>
      <c r="C13" s="372" t="s">
        <v>286</v>
      </c>
      <c r="D13" s="373" t="s">
        <v>280</v>
      </c>
      <c r="E13" s="373">
        <v>6.9989999999999997</v>
      </c>
      <c r="F13" s="374">
        <v>44677</v>
      </c>
    </row>
    <row r="14" spans="1:6" x14ac:dyDescent="0.25">
      <c r="A14" s="371" t="s">
        <v>287</v>
      </c>
      <c r="B14" s="371" t="s">
        <v>288</v>
      </c>
      <c r="C14" s="372" t="s">
        <v>286</v>
      </c>
      <c r="D14" s="373" t="s">
        <v>289</v>
      </c>
      <c r="E14" s="373">
        <v>6.9989999999999997</v>
      </c>
      <c r="F14" s="374">
        <v>44677</v>
      </c>
    </row>
    <row r="15" spans="1:6" ht="30" x14ac:dyDescent="0.25">
      <c r="A15" s="371" t="s">
        <v>281</v>
      </c>
      <c r="B15" s="371" t="s">
        <v>290</v>
      </c>
      <c r="C15" s="372" t="s">
        <v>291</v>
      </c>
      <c r="D15" s="373" t="s">
        <v>289</v>
      </c>
      <c r="E15" s="373">
        <v>6.9989999999999997</v>
      </c>
      <c r="F15" s="374">
        <v>44678</v>
      </c>
    </row>
    <row r="16" spans="1:6" ht="30" x14ac:dyDescent="0.25">
      <c r="A16" s="371" t="s">
        <v>292</v>
      </c>
      <c r="B16" s="371" t="s">
        <v>293</v>
      </c>
      <c r="C16" s="372" t="s">
        <v>286</v>
      </c>
      <c r="D16" s="373" t="s">
        <v>294</v>
      </c>
      <c r="E16" s="373">
        <v>6.9989999999999997</v>
      </c>
      <c r="F16" s="374">
        <v>44677</v>
      </c>
    </row>
    <row r="17" spans="1:6" ht="30" x14ac:dyDescent="0.25">
      <c r="A17" s="371" t="s">
        <v>281</v>
      </c>
      <c r="B17" s="371" t="s">
        <v>295</v>
      </c>
      <c r="C17" s="372" t="s">
        <v>296</v>
      </c>
      <c r="D17" s="373" t="s">
        <v>289</v>
      </c>
      <c r="E17" s="373">
        <v>6.9989999999999997</v>
      </c>
      <c r="F17" s="374">
        <v>44677</v>
      </c>
    </row>
    <row r="18" spans="1:6" ht="30" x14ac:dyDescent="0.25">
      <c r="A18" s="371" t="s">
        <v>297</v>
      </c>
      <c r="B18" s="371" t="s">
        <v>298</v>
      </c>
      <c r="C18" s="372" t="s">
        <v>299</v>
      </c>
      <c r="D18" s="373" t="s">
        <v>294</v>
      </c>
      <c r="E18" s="373">
        <v>6.9989999999999997</v>
      </c>
      <c r="F18" s="374">
        <v>44678</v>
      </c>
    </row>
    <row r="20" spans="1:6" ht="14.45" customHeight="1" x14ac:dyDescent="0.25">
      <c r="A20" s="442" t="s">
        <v>275</v>
      </c>
      <c r="B20" s="443"/>
    </row>
    <row r="21" spans="1:6" x14ac:dyDescent="0.25">
      <c r="A21" s="375" t="s">
        <v>300</v>
      </c>
      <c r="B21" s="373">
        <v>6.9950000000000001</v>
      </c>
    </row>
    <row r="22" spans="1:6" x14ac:dyDescent="0.25">
      <c r="A22" s="375" t="s">
        <v>301</v>
      </c>
      <c r="B22" s="373">
        <v>1.0999999999999999E-2</v>
      </c>
    </row>
    <row r="23" spans="1:6" x14ac:dyDescent="0.25">
      <c r="A23" s="375" t="s">
        <v>302</v>
      </c>
      <c r="B23" s="373">
        <v>6.9690000000000003</v>
      </c>
    </row>
    <row r="24" spans="1:6" x14ac:dyDescent="0.25">
      <c r="A24" s="375" t="s">
        <v>303</v>
      </c>
      <c r="B24" s="373">
        <v>6.9989999999999997</v>
      </c>
    </row>
    <row r="25" spans="1:6" x14ac:dyDescent="0.25">
      <c r="A25" s="368" t="s">
        <v>304</v>
      </c>
    </row>
    <row r="27" spans="1:6" x14ac:dyDescent="0.25">
      <c r="A27" s="366" t="s">
        <v>264</v>
      </c>
    </row>
    <row r="28" spans="1:6" x14ac:dyDescent="0.25">
      <c r="A28" s="366" t="s">
        <v>265</v>
      </c>
    </row>
    <row r="29" spans="1:6" x14ac:dyDescent="0.25">
      <c r="A29" s="366" t="s">
        <v>266</v>
      </c>
    </row>
    <row r="30" spans="1:6" x14ac:dyDescent="0.25">
      <c r="A30" s="366"/>
    </row>
    <row r="31" spans="1:6" x14ac:dyDescent="0.25">
      <c r="A31" s="444" t="s">
        <v>267</v>
      </c>
      <c r="B31" s="444"/>
      <c r="C31" s="444"/>
      <c r="D31" s="444"/>
    </row>
    <row r="32" spans="1:6" x14ac:dyDescent="0.25">
      <c r="A32" s="368" t="s">
        <v>305</v>
      </c>
    </row>
    <row r="33" spans="1:6" x14ac:dyDescent="0.25">
      <c r="A33" s="368" t="s">
        <v>269</v>
      </c>
    </row>
    <row r="35" spans="1:6" x14ac:dyDescent="0.25">
      <c r="A35" s="445" t="s">
        <v>270</v>
      </c>
      <c r="B35" s="446"/>
      <c r="C35" s="446"/>
      <c r="D35" s="446"/>
      <c r="E35" s="446"/>
      <c r="F35" s="447"/>
    </row>
    <row r="36" spans="1:6" ht="30" x14ac:dyDescent="0.25">
      <c r="A36" s="369" t="s">
        <v>271</v>
      </c>
      <c r="B36" s="369" t="s">
        <v>272</v>
      </c>
      <c r="C36" s="369" t="s">
        <v>273</v>
      </c>
      <c r="D36" s="370" t="s">
        <v>274</v>
      </c>
      <c r="E36" s="370" t="s">
        <v>275</v>
      </c>
      <c r="F36" s="370" t="s">
        <v>276</v>
      </c>
    </row>
    <row r="37" spans="1:6" ht="30" x14ac:dyDescent="0.25">
      <c r="A37" s="371" t="s">
        <v>281</v>
      </c>
      <c r="B37" s="371" t="s">
        <v>282</v>
      </c>
      <c r="C37" s="372" t="s">
        <v>283</v>
      </c>
      <c r="D37" s="373" t="s">
        <v>280</v>
      </c>
      <c r="E37" s="373">
        <v>6.1989999999999998</v>
      </c>
      <c r="F37" s="374">
        <v>44678</v>
      </c>
    </row>
    <row r="38" spans="1:6" x14ac:dyDescent="0.25">
      <c r="A38" s="371" t="s">
        <v>306</v>
      </c>
      <c r="B38" s="371" t="s">
        <v>307</v>
      </c>
      <c r="C38" s="372" t="s">
        <v>279</v>
      </c>
      <c r="D38" s="373" t="s">
        <v>308</v>
      </c>
      <c r="E38" s="373">
        <v>6.1989999999999998</v>
      </c>
      <c r="F38" s="374">
        <v>44678</v>
      </c>
    </row>
    <row r="39" spans="1:6" ht="30" x14ac:dyDescent="0.25">
      <c r="A39" s="371" t="s">
        <v>281</v>
      </c>
      <c r="B39" s="371" t="s">
        <v>295</v>
      </c>
      <c r="C39" s="372" t="s">
        <v>296</v>
      </c>
      <c r="D39" s="373" t="s">
        <v>289</v>
      </c>
      <c r="E39" s="373">
        <v>6.4989999999999997</v>
      </c>
      <c r="F39" s="374">
        <v>44677</v>
      </c>
    </row>
    <row r="40" spans="1:6" ht="30" x14ac:dyDescent="0.25">
      <c r="A40" s="371" t="s">
        <v>277</v>
      </c>
      <c r="B40" s="371" t="s">
        <v>278</v>
      </c>
      <c r="C40" s="372" t="s">
        <v>279</v>
      </c>
      <c r="D40" s="373" t="s">
        <v>280</v>
      </c>
      <c r="E40" s="373">
        <v>6.4989999999999997</v>
      </c>
      <c r="F40" s="374">
        <v>44678</v>
      </c>
    </row>
    <row r="41" spans="1:6" ht="30" x14ac:dyDescent="0.25">
      <c r="A41" s="371" t="s">
        <v>297</v>
      </c>
      <c r="B41" s="371" t="s">
        <v>298</v>
      </c>
      <c r="C41" s="372" t="s">
        <v>299</v>
      </c>
      <c r="D41" s="373" t="s">
        <v>294</v>
      </c>
      <c r="E41" s="373">
        <v>6.4989999999999997</v>
      </c>
      <c r="F41" s="374">
        <v>44678</v>
      </c>
    </row>
    <row r="42" spans="1:6" ht="30" x14ac:dyDescent="0.25">
      <c r="A42" s="371" t="s">
        <v>281</v>
      </c>
      <c r="B42" s="371" t="s">
        <v>290</v>
      </c>
      <c r="C42" s="372" t="s">
        <v>291</v>
      </c>
      <c r="D42" s="373" t="s">
        <v>289</v>
      </c>
      <c r="E42" s="373">
        <v>6.4989999999999997</v>
      </c>
      <c r="F42" s="374">
        <v>44678</v>
      </c>
    </row>
    <row r="43" spans="1:6" ht="30" x14ac:dyDescent="0.25">
      <c r="A43" s="371" t="s">
        <v>284</v>
      </c>
      <c r="B43" s="371" t="s">
        <v>285</v>
      </c>
      <c r="C43" s="372" t="s">
        <v>286</v>
      </c>
      <c r="D43" s="373" t="s">
        <v>280</v>
      </c>
      <c r="E43" s="373">
        <v>6.5990000000000002</v>
      </c>
      <c r="F43" s="374">
        <v>44677</v>
      </c>
    </row>
    <row r="44" spans="1:6" ht="30" x14ac:dyDescent="0.25">
      <c r="A44" s="371" t="s">
        <v>292</v>
      </c>
      <c r="B44" s="371" t="s">
        <v>293</v>
      </c>
      <c r="C44" s="372" t="s">
        <v>286</v>
      </c>
      <c r="D44" s="373" t="s">
        <v>294</v>
      </c>
      <c r="E44" s="373">
        <v>6.5990000000000002</v>
      </c>
      <c r="F44" s="374">
        <v>44677</v>
      </c>
    </row>
    <row r="45" spans="1:6" x14ac:dyDescent="0.25">
      <c r="A45" s="371" t="s">
        <v>287</v>
      </c>
      <c r="B45" s="371" t="s">
        <v>288</v>
      </c>
      <c r="C45" s="372" t="s">
        <v>286</v>
      </c>
      <c r="D45" s="373" t="s">
        <v>289</v>
      </c>
      <c r="E45" s="373">
        <v>6.5990000000000002</v>
      </c>
      <c r="F45" s="374">
        <v>44677</v>
      </c>
    </row>
    <row r="47" spans="1:6" x14ac:dyDescent="0.25">
      <c r="A47" s="442" t="s">
        <v>275</v>
      </c>
      <c r="B47" s="443"/>
    </row>
    <row r="48" spans="1:6" x14ac:dyDescent="0.25">
      <c r="A48" s="375" t="s">
        <v>300</v>
      </c>
      <c r="B48" s="373">
        <v>6.4660000000000002</v>
      </c>
    </row>
    <row r="49" spans="1:2" x14ac:dyDescent="0.25">
      <c r="A49" s="375" t="s">
        <v>301</v>
      </c>
      <c r="B49" s="373">
        <v>0.158</v>
      </c>
    </row>
    <row r="50" spans="1:2" x14ac:dyDescent="0.25">
      <c r="A50" s="375" t="s">
        <v>302</v>
      </c>
      <c r="B50" s="373">
        <v>6.1989999999999998</v>
      </c>
    </row>
    <row r="51" spans="1:2" x14ac:dyDescent="0.25">
      <c r="A51" s="375" t="s">
        <v>303</v>
      </c>
      <c r="B51" s="373">
        <v>6.5990000000000002</v>
      </c>
    </row>
    <row r="52" spans="1:2" x14ac:dyDescent="0.25">
      <c r="A52" s="368" t="s">
        <v>304</v>
      </c>
    </row>
  </sheetData>
  <mergeCells count="6">
    <mergeCell ref="A47:B47"/>
    <mergeCell ref="A5:D5"/>
    <mergeCell ref="A9:F9"/>
    <mergeCell ref="A20:B20"/>
    <mergeCell ref="A31:D31"/>
    <mergeCell ref="A35:F35"/>
  </mergeCells>
  <pageMargins left="0.78740157480314965" right="0.78740157480314965" top="0.98425196850393704" bottom="0.98425196850393704" header="0.51181102362204722" footer="0.51181102362204722"/>
  <pageSetup paperSize="9" scale="7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3</vt:i4>
      </vt:variant>
    </vt:vector>
  </HeadingPairs>
  <TitlesOfParts>
    <vt:vector size="11" baseType="lpstr">
      <vt:lpstr>1. Limpeza Urbana</vt:lpstr>
      <vt:lpstr>2. Encargos Sociais</vt:lpstr>
      <vt:lpstr>3. CAGED</vt:lpstr>
      <vt:lpstr>4. BDI</vt:lpstr>
      <vt:lpstr>5 Horários</vt:lpstr>
      <vt:lpstr>Equipamentos e ferram ano </vt:lpstr>
      <vt:lpstr>Tabela ANP</vt:lpstr>
      <vt:lpstr>Plan1</vt:lpstr>
      <vt:lpstr>'1. Limpeza Urbana'!Area_de_impressao</vt:lpstr>
      <vt:lpstr>'2. Encargos Sociais'!Area_de_impressao</vt:lpstr>
      <vt:lpstr>'1. Limpeza Urbana'!Titulos_de_impressao</vt:lpstr>
    </vt:vector>
  </TitlesOfParts>
  <Company>dmlu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Licita-02</cp:lastModifiedBy>
  <cp:lastPrinted>2022-05-12T14:25:58Z</cp:lastPrinted>
  <dcterms:created xsi:type="dcterms:W3CDTF">2000-12-13T10:02:50Z</dcterms:created>
  <dcterms:modified xsi:type="dcterms:W3CDTF">2022-05-12T14:42:44Z</dcterms:modified>
</cp:coreProperties>
</file>